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6 - FEFP Funding\!Payments 2025-26\2025-07\"/>
    </mc:Choice>
  </mc:AlternateContent>
  <xr:revisionPtr revIDLastSave="0" documentId="13_ncr:1_{A265E128-7240-4D9C-9590-DBDB0084E474}" xr6:coauthVersionLast="47" xr6:coauthVersionMax="47" xr10:uidLastSave="{00000000-0000-0000-0000-000000000000}"/>
  <bookViews>
    <workbookView xWindow="20370" yWindow="-120" windowWidth="29040" windowHeight="15840" firstSheet="1" activeTab="1" xr2:uid="{00000000-000D-0000-FFFF-FFFF00000000}"/>
  </bookViews>
  <sheets>
    <sheet name="Surveys" sheetId="74" state="hidden" r:id="rId1"/>
    <sheet name="Net Payment" sheetId="64" r:id="rId2"/>
    <sheet name="Annual Rev &amp; Fees" sheetId="72" state="hidden" r:id="rId3"/>
    <sheet name="Charter Schools" sheetId="65" r:id="rId4"/>
    <sheet name="Consolidated" sheetId="60" r:id="rId5"/>
    <sheet name="Cumulative Payments" sheetId="79" state="hidden" r:id="rId6"/>
    <sheet name="0040" sheetId="81" r:id="rId7"/>
    <sheet name="0100" sheetId="80" r:id="rId8"/>
    <sheet name="1461" sheetId="7" r:id="rId9"/>
    <sheet name="1571" sheetId="16" r:id="rId10"/>
    <sheet name="2521" sheetId="17" r:id="rId11"/>
    <sheet name="2531" sheetId="18" r:id="rId12"/>
    <sheet name="2791" sheetId="20" r:id="rId13"/>
    <sheet name="2801" sheetId="21" r:id="rId14"/>
    <sheet name="2911" sheetId="25" r:id="rId15"/>
    <sheet name="2941" sheetId="24" r:id="rId16"/>
    <sheet name="3083" sheetId="22" r:id="rId17"/>
    <sheet name="3345" sheetId="26" r:id="rId18"/>
    <sheet name="3381" sheetId="27" r:id="rId19"/>
    <sheet name="3382" sheetId="28" r:id="rId20"/>
    <sheet name="3391" sheetId="31" r:id="rId21"/>
    <sheet name="3394" sheetId="32" r:id="rId22"/>
    <sheet name="3395" sheetId="33" r:id="rId23"/>
    <sheet name="3396" sheetId="34" r:id="rId24"/>
    <sheet name="3398" sheetId="35" r:id="rId25"/>
    <sheet name="3400" sheetId="23" r:id="rId26"/>
    <sheet name="3401" sheetId="36" r:id="rId27"/>
    <sheet name="3413" sheetId="37" r:id="rId28"/>
    <sheet name="3421" sheetId="38" r:id="rId29"/>
    <sheet name="3431" sheetId="39" r:id="rId30"/>
    <sheet name="3441" sheetId="40" r:id="rId31"/>
    <sheet name="3924" sheetId="42" r:id="rId32"/>
    <sheet name="3941" sheetId="43" r:id="rId33"/>
    <sheet name="3961" sheetId="44" r:id="rId34"/>
    <sheet name="3971" sheetId="45" r:id="rId35"/>
    <sheet name="4001" sheetId="47" r:id="rId36"/>
    <sheet name="4002" sheetId="48" r:id="rId37"/>
    <sheet name="4012" sheetId="50" r:id="rId38"/>
    <sheet name="4013" sheetId="51" r:id="rId39"/>
    <sheet name="4020" sheetId="52" r:id="rId40"/>
    <sheet name="4030" sheetId="75" r:id="rId41"/>
    <sheet name="4031" sheetId="76" r:id="rId42"/>
    <sheet name="4041" sheetId="55" r:id="rId43"/>
    <sheet name="4050" sheetId="56" r:id="rId44"/>
    <sheet name="4051" sheetId="57" r:id="rId45"/>
    <sheet name="4061" sheetId="58" r:id="rId46"/>
    <sheet name="4080" sheetId="66" r:id="rId47"/>
    <sheet name="4081" sheetId="67" r:id="rId48"/>
    <sheet name="4090" sheetId="69" r:id="rId49"/>
    <sheet name="4091" sheetId="70" r:id="rId50"/>
    <sheet name="4100" sheetId="71" r:id="rId51"/>
    <sheet name="4102" sheetId="68" r:id="rId52"/>
    <sheet name="4103" sheetId="77" r:id="rId53"/>
    <sheet name="4111" sheetId="78" r:id="rId54"/>
    <sheet name="4131" sheetId="30" r:id="rId55"/>
    <sheet name="Virtual" sheetId="62" state="hidden" r:id="rId56"/>
  </sheets>
  <definedNames>
    <definedName name="_xlnm._FilterDatabase" localSheetId="2" hidden="1">'Annual Rev &amp; Fees'!$A$5:$W$53</definedName>
    <definedName name="_xlnm._FilterDatabase" localSheetId="1" hidden="1">'Net Payment'!$A$4:$G$451</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54"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localSheetId="2"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54"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54"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6">'0040'!$A$6:$I$145</definedName>
    <definedName name="_xlnm.Print_Area" localSheetId="7">'0100'!$A$6:$I$145</definedName>
    <definedName name="_xlnm.Print_Area" localSheetId="8">'1461'!$A$6:$I$145</definedName>
    <definedName name="_xlnm.Print_Area" localSheetId="4">Consolidated!$A$2:$I$147</definedName>
    <definedName name="_xlnm.Print_Area" localSheetId="1">'Net Payment'!$A$1:$G$515</definedName>
    <definedName name="_xlnm.Print_Area" localSheetId="55">Virtual!$B$2:$G$38</definedName>
    <definedName name="_xlnm.Print_Titles" localSheetId="6">'0040'!$2:$5</definedName>
    <definedName name="_xlnm.Print_Titles" localSheetId="7">'0100'!$2:$5</definedName>
    <definedName name="_xlnm.Print_Titles" localSheetId="8">'1461'!$2:$5</definedName>
    <definedName name="_xlnm.Print_Titles" localSheetId="1">'Net Payment'!$1:$4</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54"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6" i="60" l="1"/>
  <c r="E425" i="64"/>
  <c r="I139" i="68"/>
  <c r="I145" i="81" l="1"/>
  <c r="F470" i="64" l="1"/>
  <c r="E55" i="79" l="1"/>
  <c r="J60" i="79" s="1"/>
  <c r="R54" i="79" l="1"/>
  <c r="Q5" i="79"/>
  <c r="R70" i="79"/>
  <c r="Q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108" i="79"/>
  <c r="R109" i="79"/>
  <c r="R110" i="79"/>
  <c r="R111" i="79"/>
  <c r="R112" i="79"/>
  <c r="R113" i="79"/>
  <c r="R114" i="79"/>
  <c r="R115" i="79"/>
  <c r="Q71" i="79"/>
  <c r="I96" i="60" l="1"/>
  <c r="F98" i="30" l="1"/>
  <c r="F98" i="78"/>
  <c r="F98" i="77"/>
  <c r="F98" i="68"/>
  <c r="F98" i="71"/>
  <c r="F98" i="70"/>
  <c r="F98" i="69"/>
  <c r="F98" i="67"/>
  <c r="F98" i="66"/>
  <c r="F98" i="58"/>
  <c r="F98" i="57"/>
  <c r="F98" i="56"/>
  <c r="F98" i="55"/>
  <c r="F98" i="76"/>
  <c r="F98" i="75"/>
  <c r="F98" i="52"/>
  <c r="F98" i="51"/>
  <c r="F98" i="50"/>
  <c r="F98" i="48"/>
  <c r="F98" i="47"/>
  <c r="F98" i="45"/>
  <c r="F98" i="44"/>
  <c r="F98" i="43"/>
  <c r="F98" i="42"/>
  <c r="F98" i="40"/>
  <c r="F98" i="39"/>
  <c r="F98" i="38"/>
  <c r="F98" i="37"/>
  <c r="F98" i="36"/>
  <c r="F98" i="23"/>
  <c r="F98" i="35"/>
  <c r="F98" i="34"/>
  <c r="F98" i="33"/>
  <c r="F98" i="32"/>
  <c r="F98" i="31"/>
  <c r="F98" i="28"/>
  <c r="F98" i="27"/>
  <c r="F98" i="26"/>
  <c r="F98" i="22"/>
  <c r="F98" i="24"/>
  <c r="F98" i="25"/>
  <c r="F98" i="21"/>
  <c r="F98" i="20"/>
  <c r="F98" i="18"/>
  <c r="F98" i="17"/>
  <c r="F98" i="16"/>
  <c r="Q47" i="79" l="1"/>
  <c r="N120" i="79"/>
  <c r="K55" i="79" l="1"/>
  <c r="L120" i="79"/>
  <c r="M120" i="79"/>
  <c r="L55" i="79"/>
  <c r="N55" i="79" l="1"/>
  <c r="O120" i="79"/>
  <c r="P120" i="79"/>
  <c r="F4" i="81"/>
  <c r="M55" i="79" l="1"/>
  <c r="Q6" i="79"/>
  <c r="Q7" i="79"/>
  <c r="Q8" i="79"/>
  <c r="Q9" i="79"/>
  <c r="Q11" i="79"/>
  <c r="Q12" i="79"/>
  <c r="Q13" i="79"/>
  <c r="Q14" i="79"/>
  <c r="Q15" i="79"/>
  <c r="Q16" i="79"/>
  <c r="Q17" i="79"/>
  <c r="Q18" i="79"/>
  <c r="Q19" i="79"/>
  <c r="Q20" i="79"/>
  <c r="Q21" i="79"/>
  <c r="Q22" i="79"/>
  <c r="Q23" i="79"/>
  <c r="Q24" i="79"/>
  <c r="Q25" i="79"/>
  <c r="Q26" i="79"/>
  <c r="Q27" i="79"/>
  <c r="Q28" i="79"/>
  <c r="Q29" i="79"/>
  <c r="Q30" i="79"/>
  <c r="Q31" i="79"/>
  <c r="Q32" i="79"/>
  <c r="Q33" i="79"/>
  <c r="Q34" i="79"/>
  <c r="Q35" i="79"/>
  <c r="Q36" i="79"/>
  <c r="Q37" i="79"/>
  <c r="Q38" i="79"/>
  <c r="Q39" i="79"/>
  <c r="Q40" i="79"/>
  <c r="Q41" i="79"/>
  <c r="Q42" i="79"/>
  <c r="Q43" i="79"/>
  <c r="Q44" i="79"/>
  <c r="Q45" i="79"/>
  <c r="Q46" i="79"/>
  <c r="Q48" i="79"/>
  <c r="Q49" i="79"/>
  <c r="Q50" i="79"/>
  <c r="Q51" i="79"/>
  <c r="Q52" i="79"/>
  <c r="Q53" i="79"/>
  <c r="A3" i="81"/>
  <c r="A3" i="80"/>
  <c r="Q73" i="79"/>
  <c r="D279" i="64" l="1"/>
  <c r="E113" i="67" l="1"/>
  <c r="E113" i="66"/>
  <c r="E113" i="58"/>
  <c r="E113" i="52"/>
  <c r="E113" i="50"/>
  <c r="E113" i="47"/>
  <c r="E113" i="45"/>
  <c r="E113" i="43"/>
  <c r="E113" i="42"/>
  <c r="E113" i="40"/>
  <c r="E113" i="39"/>
  <c r="E113" i="38"/>
  <c r="E113" i="36"/>
  <c r="E113" i="23"/>
  <c r="E113" i="35"/>
  <c r="E113" i="34"/>
  <c r="E114" i="18"/>
  <c r="E114" i="17"/>
  <c r="E113" i="33"/>
  <c r="E113" i="32"/>
  <c r="E113" i="28"/>
  <c r="E113" i="27"/>
  <c r="E113" i="26"/>
  <c r="E113" i="21"/>
  <c r="E113" i="18"/>
  <c r="E113" i="17"/>
  <c r="E113" i="16"/>
  <c r="E113" i="7"/>
  <c r="E113" i="81"/>
  <c r="O55" i="79" l="1"/>
  <c r="P55" i="79"/>
  <c r="R116" i="79"/>
  <c r="R117" i="79"/>
  <c r="R118" i="79"/>
  <c r="D19" i="79" l="1"/>
  <c r="D55" i="79" s="1"/>
  <c r="C66" i="48" l="1"/>
  <c r="C23" i="24"/>
  <c r="C25" i="24"/>
  <c r="C24" i="24"/>
  <c r="J55" i="79" l="1"/>
  <c r="H55" i="79" l="1"/>
  <c r="I55" i="79" l="1"/>
  <c r="E59" i="18" l="1"/>
  <c r="Q72"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I120" i="79"/>
  <c r="Q10" i="79" l="1"/>
  <c r="Q55" i="79" s="1"/>
  <c r="F4" i="80"/>
  <c r="I139" i="81"/>
  <c r="I143" i="80"/>
  <c r="I143" i="81"/>
  <c r="H120" i="79"/>
  <c r="I139" i="80"/>
  <c r="F462" i="64" l="1"/>
  <c r="D115" i="60" l="1"/>
  <c r="C115" i="60"/>
  <c r="D114" i="60"/>
  <c r="C114" i="60"/>
  <c r="H71" i="60"/>
  <c r="D67" i="60"/>
  <c r="D66" i="60"/>
  <c r="D65" i="60"/>
  <c r="D64" i="60"/>
  <c r="D63" i="60"/>
  <c r="D62" i="60"/>
  <c r="D61" i="60"/>
  <c r="D60" i="60"/>
  <c r="D59" i="60"/>
  <c r="C67" i="60"/>
  <c r="C66" i="60"/>
  <c r="C65" i="60"/>
  <c r="C64" i="60"/>
  <c r="C63" i="60"/>
  <c r="C62" i="60"/>
  <c r="C61" i="60"/>
  <c r="C60" i="60"/>
  <c r="C59" i="60"/>
  <c r="D29" i="60"/>
  <c r="D28" i="60"/>
  <c r="D27" i="60"/>
  <c r="D26" i="60"/>
  <c r="D25" i="60"/>
  <c r="D24" i="60"/>
  <c r="D23" i="60"/>
  <c r="D22" i="60"/>
  <c r="D21" i="60"/>
  <c r="D20" i="60"/>
  <c r="D19" i="60"/>
  <c r="D18" i="60"/>
  <c r="D17" i="60"/>
  <c r="D16" i="60"/>
  <c r="D15" i="60"/>
  <c r="D14" i="60"/>
  <c r="C29" i="60"/>
  <c r="C28" i="60"/>
  <c r="C27" i="60"/>
  <c r="C26" i="60"/>
  <c r="C25" i="60"/>
  <c r="C24" i="60"/>
  <c r="C23" i="60"/>
  <c r="C22" i="60"/>
  <c r="C21" i="60"/>
  <c r="C20" i="60"/>
  <c r="C19" i="60"/>
  <c r="C18" i="60"/>
  <c r="C17" i="60"/>
  <c r="C16" i="60"/>
  <c r="C15" i="60"/>
  <c r="C14" i="60"/>
  <c r="V7" i="72" l="1"/>
  <c r="U7" i="72"/>
  <c r="V6" i="72"/>
  <c r="U6" i="72"/>
  <c r="D8" i="64"/>
  <c r="E123" i="81" l="1"/>
  <c r="H122" i="81"/>
  <c r="F122" i="81"/>
  <c r="E122" i="81"/>
  <c r="R121" i="81"/>
  <c r="R122" i="81" s="1"/>
  <c r="H121" i="81"/>
  <c r="H123" i="81" s="1"/>
  <c r="T123" i="81" s="1"/>
  <c r="T114" i="81"/>
  <c r="U114" i="81" s="1"/>
  <c r="E114" i="81"/>
  <c r="I114" i="81" s="1"/>
  <c r="T113" i="81"/>
  <c r="I113" i="81"/>
  <c r="R106" i="81"/>
  <c r="E106" i="81"/>
  <c r="R105" i="81"/>
  <c r="E105" i="81"/>
  <c r="R104" i="81"/>
  <c r="E104" i="81"/>
  <c r="R98" i="81"/>
  <c r="R96" i="81"/>
  <c r="R94" i="81"/>
  <c r="R92" i="81"/>
  <c r="R90" i="81"/>
  <c r="R88" i="81"/>
  <c r="R85" i="81"/>
  <c r="T81" i="81"/>
  <c r="T78" i="81"/>
  <c r="T75" i="81"/>
  <c r="T72" i="81"/>
  <c r="T69" i="81"/>
  <c r="P66" i="81"/>
  <c r="D66" i="81"/>
  <c r="C66" i="81"/>
  <c r="T65" i="81"/>
  <c r="U65" i="81" s="1"/>
  <c r="T64" i="81"/>
  <c r="U64" i="81" s="1"/>
  <c r="T63" i="81"/>
  <c r="U63" i="81" s="1"/>
  <c r="T62" i="81"/>
  <c r="U62" i="81" s="1"/>
  <c r="T61" i="81"/>
  <c r="U61" i="81" s="1"/>
  <c r="T60" i="81"/>
  <c r="U60" i="81" s="1"/>
  <c r="T59" i="81"/>
  <c r="U59" i="81" s="1"/>
  <c r="E59" i="81"/>
  <c r="T58" i="81"/>
  <c r="U58" i="81" s="1"/>
  <c r="E58" i="81"/>
  <c r="I58" i="81" s="1"/>
  <c r="T57" i="81"/>
  <c r="U57" i="81" s="1"/>
  <c r="E57" i="81"/>
  <c r="I57" i="81" s="1"/>
  <c r="I51" i="81"/>
  <c r="D44" i="81"/>
  <c r="E43" i="81" s="1"/>
  <c r="I43" i="81" s="1"/>
  <c r="C44" i="81"/>
  <c r="U37" i="81"/>
  <c r="I35" i="81"/>
  <c r="U35" i="81" s="1"/>
  <c r="D30" i="81"/>
  <c r="E121" i="81" s="1"/>
  <c r="C30" i="81"/>
  <c r="U12" i="81"/>
  <c r="U10" i="81"/>
  <c r="T9" i="81"/>
  <c r="T8" i="81"/>
  <c r="P106" i="81" s="1"/>
  <c r="P8" i="81"/>
  <c r="N7" i="81"/>
  <c r="P4" i="81"/>
  <c r="N3" i="81"/>
  <c r="N1" i="81"/>
  <c r="I51" i="80"/>
  <c r="E123" i="80"/>
  <c r="H122" i="80"/>
  <c r="T122" i="80" s="1"/>
  <c r="F122" i="80"/>
  <c r="E122" i="80"/>
  <c r="R121" i="80"/>
  <c r="R122" i="80" s="1"/>
  <c r="H121" i="80"/>
  <c r="T121" i="80" s="1"/>
  <c r="T114" i="80"/>
  <c r="U114" i="80" s="1"/>
  <c r="E114" i="80"/>
  <c r="I114" i="80" s="1"/>
  <c r="T113" i="80"/>
  <c r="E113" i="80"/>
  <c r="I113" i="80" s="1"/>
  <c r="R106" i="80"/>
  <c r="E106" i="80"/>
  <c r="R105" i="80"/>
  <c r="E105" i="80"/>
  <c r="R104" i="80"/>
  <c r="E104" i="80"/>
  <c r="R98" i="80"/>
  <c r="R96" i="80"/>
  <c r="R94" i="80"/>
  <c r="R92" i="80"/>
  <c r="R90" i="80"/>
  <c r="R88" i="80"/>
  <c r="R85" i="80"/>
  <c r="T81" i="80"/>
  <c r="T78" i="80"/>
  <c r="T75" i="80"/>
  <c r="T72" i="80"/>
  <c r="T69" i="80"/>
  <c r="P66" i="80"/>
  <c r="D66" i="80"/>
  <c r="C66" i="80"/>
  <c r="T65" i="80"/>
  <c r="U65" i="80" s="1"/>
  <c r="T64" i="80"/>
  <c r="U64" i="80" s="1"/>
  <c r="T63" i="80"/>
  <c r="U63" i="80" s="1"/>
  <c r="T62" i="80"/>
  <c r="U62" i="80" s="1"/>
  <c r="T61" i="80"/>
  <c r="U61" i="80" s="1"/>
  <c r="T60" i="80"/>
  <c r="U60" i="80" s="1"/>
  <c r="T59" i="80"/>
  <c r="U59" i="80" s="1"/>
  <c r="E59" i="80"/>
  <c r="I59" i="80" s="1"/>
  <c r="T58" i="80"/>
  <c r="U58" i="80" s="1"/>
  <c r="E58" i="80"/>
  <c r="I58" i="80" s="1"/>
  <c r="T57" i="80"/>
  <c r="U57" i="80" s="1"/>
  <c r="E57" i="80"/>
  <c r="I57" i="80" s="1"/>
  <c r="D44" i="80"/>
  <c r="E42" i="80" s="1"/>
  <c r="I42" i="80" s="1"/>
  <c r="C44" i="80"/>
  <c r="U37" i="80"/>
  <c r="U35" i="80"/>
  <c r="I35" i="80"/>
  <c r="D30" i="80"/>
  <c r="E121" i="80" s="1"/>
  <c r="C30" i="80"/>
  <c r="U12" i="80"/>
  <c r="U10" i="80"/>
  <c r="T9" i="80"/>
  <c r="T8" i="80"/>
  <c r="P106" i="80" s="1"/>
  <c r="P8" i="80"/>
  <c r="N7" i="80"/>
  <c r="P4" i="80"/>
  <c r="N3" i="80"/>
  <c r="N1" i="80"/>
  <c r="E38" i="81" l="1"/>
  <c r="I121" i="81"/>
  <c r="I122" i="81"/>
  <c r="H123" i="80"/>
  <c r="T123" i="80" s="1"/>
  <c r="I121" i="80"/>
  <c r="T121" i="81"/>
  <c r="E63" i="80"/>
  <c r="I63" i="80" s="1"/>
  <c r="E60" i="80"/>
  <c r="I60" i="80" s="1"/>
  <c r="E62" i="80"/>
  <c r="I62" i="80" s="1"/>
  <c r="E61" i="80"/>
  <c r="I61" i="80" s="1"/>
  <c r="E64" i="81"/>
  <c r="I64" i="81" s="1"/>
  <c r="E60" i="81"/>
  <c r="I60" i="81" s="1"/>
  <c r="E62" i="81"/>
  <c r="I62" i="81" s="1"/>
  <c r="E61" i="81"/>
  <c r="I61" i="81" s="1"/>
  <c r="I122" i="80"/>
  <c r="E41" i="81"/>
  <c r="I41" i="81" s="1"/>
  <c r="I53" i="81"/>
  <c r="E20" i="81"/>
  <c r="E21" i="81"/>
  <c r="E22" i="81"/>
  <c r="E23" i="81"/>
  <c r="E24" i="81"/>
  <c r="E18" i="81"/>
  <c r="E25" i="81"/>
  <c r="E26" i="81"/>
  <c r="E27" i="81"/>
  <c r="E28" i="81"/>
  <c r="E29" i="81"/>
  <c r="U66" i="81"/>
  <c r="E16" i="81"/>
  <c r="P105" i="81"/>
  <c r="T122" i="81"/>
  <c r="I38" i="81"/>
  <c r="E65" i="81"/>
  <c r="I65" i="81" s="1"/>
  <c r="I59" i="81"/>
  <c r="I123" i="81"/>
  <c r="E15" i="81"/>
  <c r="E39" i="81"/>
  <c r="I39" i="81" s="1"/>
  <c r="E42" i="81"/>
  <c r="I42" i="81" s="1"/>
  <c r="P104" i="81"/>
  <c r="E17" i="81"/>
  <c r="E19" i="81"/>
  <c r="E63" i="81"/>
  <c r="I63" i="81" s="1"/>
  <c r="E40" i="81"/>
  <c r="I40" i="81" s="1"/>
  <c r="E14" i="81"/>
  <c r="I53" i="80"/>
  <c r="E38" i="80"/>
  <c r="I38" i="80" s="1"/>
  <c r="E40" i="80"/>
  <c r="I40" i="80" s="1"/>
  <c r="E41" i="80"/>
  <c r="I41" i="80" s="1"/>
  <c r="E43" i="80"/>
  <c r="I43" i="80" s="1"/>
  <c r="E64" i="80"/>
  <c r="E65" i="80"/>
  <c r="E18" i="80"/>
  <c r="H18" i="80" s="1"/>
  <c r="I18" i="80" s="1"/>
  <c r="U66" i="80"/>
  <c r="E19" i="80"/>
  <c r="E16" i="80"/>
  <c r="H16" i="80" s="1"/>
  <c r="P105" i="80"/>
  <c r="E20" i="80"/>
  <c r="H20" i="80" s="1"/>
  <c r="I20" i="80" s="1"/>
  <c r="E22" i="80"/>
  <c r="H22" i="80" s="1"/>
  <c r="I22" i="80" s="1"/>
  <c r="E24" i="80"/>
  <c r="H24" i="80" s="1"/>
  <c r="I24" i="80" s="1"/>
  <c r="E26" i="80"/>
  <c r="H26" i="80" s="1"/>
  <c r="I26" i="80" s="1"/>
  <c r="E28" i="80"/>
  <c r="H28" i="80" s="1"/>
  <c r="I28" i="80" s="1"/>
  <c r="E15" i="80"/>
  <c r="E39" i="80"/>
  <c r="I39" i="80" s="1"/>
  <c r="P104" i="80"/>
  <c r="I123" i="80"/>
  <c r="E17" i="80"/>
  <c r="E21" i="80"/>
  <c r="H21" i="80" s="1"/>
  <c r="I21" i="80" s="1"/>
  <c r="E23" i="80"/>
  <c r="H23" i="80" s="1"/>
  <c r="I23" i="80" s="1"/>
  <c r="E25" i="80"/>
  <c r="H25" i="80" s="1"/>
  <c r="I25" i="80" s="1"/>
  <c r="E27" i="80"/>
  <c r="H27" i="80" s="1"/>
  <c r="I27" i="80" s="1"/>
  <c r="E29" i="80"/>
  <c r="H29" i="80" s="1"/>
  <c r="I29" i="80" s="1"/>
  <c r="E14" i="80"/>
  <c r="I124" i="81" l="1"/>
  <c r="I124" i="80"/>
  <c r="I44" i="80"/>
  <c r="I65" i="80"/>
  <c r="I64" i="80"/>
  <c r="H29" i="81"/>
  <c r="I29" i="81" s="1"/>
  <c r="H28" i="81"/>
  <c r="I28" i="81" s="1"/>
  <c r="H27" i="81"/>
  <c r="I27" i="81" s="1"/>
  <c r="H25" i="81"/>
  <c r="I25" i="81" s="1"/>
  <c r="H26" i="81"/>
  <c r="I26" i="81" s="1"/>
  <c r="H18" i="81"/>
  <c r="I18" i="81" s="1"/>
  <c r="H24" i="81"/>
  <c r="I24" i="81" s="1"/>
  <c r="H23" i="81"/>
  <c r="I23" i="81" s="1"/>
  <c r="H22" i="81"/>
  <c r="I22" i="81" s="1"/>
  <c r="H21" i="81"/>
  <c r="I21" i="81" s="1"/>
  <c r="H16" i="81"/>
  <c r="I16" i="81" s="1"/>
  <c r="H20" i="81"/>
  <c r="I20" i="81" s="1"/>
  <c r="I66" i="81"/>
  <c r="J17" i="81"/>
  <c r="H17" i="81"/>
  <c r="I17" i="81" s="1"/>
  <c r="J19" i="81"/>
  <c r="H19" i="81"/>
  <c r="I19" i="81" s="1"/>
  <c r="E44" i="81"/>
  <c r="J15" i="81"/>
  <c r="H15" i="81"/>
  <c r="I15" i="81" s="1"/>
  <c r="E66" i="81"/>
  <c r="E30" i="81"/>
  <c r="H14" i="81"/>
  <c r="I44" i="81"/>
  <c r="E44" i="80"/>
  <c r="J19" i="80"/>
  <c r="E66" i="80"/>
  <c r="H19" i="80"/>
  <c r="I19" i="80" s="1"/>
  <c r="J15" i="80"/>
  <c r="H15" i="80"/>
  <c r="I15" i="80" s="1"/>
  <c r="E30" i="80"/>
  <c r="H14" i="80"/>
  <c r="I16" i="80"/>
  <c r="H17" i="80"/>
  <c r="I17" i="80" s="1"/>
  <c r="J17" i="80"/>
  <c r="O6" i="72" l="1"/>
  <c r="I66" i="80"/>
  <c r="G55" i="79"/>
  <c r="C78" i="80"/>
  <c r="H79" i="80" s="1"/>
  <c r="H85" i="80" s="1"/>
  <c r="I85" i="80" s="1"/>
  <c r="O7" i="72"/>
  <c r="C105" i="81"/>
  <c r="H105" i="81" s="1"/>
  <c r="C104" i="81"/>
  <c r="H30" i="81"/>
  <c r="I14" i="81"/>
  <c r="C75" i="81"/>
  <c r="C81" i="81"/>
  <c r="C78" i="81"/>
  <c r="H133" i="81"/>
  <c r="C69" i="81"/>
  <c r="C106" i="81"/>
  <c r="H106" i="81" s="1"/>
  <c r="C105" i="80"/>
  <c r="H105" i="80" s="1"/>
  <c r="C106" i="80"/>
  <c r="H106" i="80" s="1"/>
  <c r="H30" i="80"/>
  <c r="C104" i="80"/>
  <c r="I14" i="80"/>
  <c r="I30" i="80" s="1"/>
  <c r="I46" i="80" s="1"/>
  <c r="C75" i="80"/>
  <c r="H76" i="80" s="1"/>
  <c r="H92" i="80" s="1"/>
  <c r="I92" i="80" s="1"/>
  <c r="C81" i="80"/>
  <c r="H82" i="80" s="1"/>
  <c r="H90" i="80" s="1"/>
  <c r="I90" i="80" s="1"/>
  <c r="H133" i="80"/>
  <c r="C69" i="80"/>
  <c r="H70" i="80" s="1"/>
  <c r="H79" i="81" l="1"/>
  <c r="H82" i="81"/>
  <c r="H90" i="81" s="1"/>
  <c r="I90" i="81" s="1"/>
  <c r="H76" i="81"/>
  <c r="H92" i="81" s="1"/>
  <c r="I92" i="81" s="1"/>
  <c r="H70" i="81"/>
  <c r="H98" i="81" s="1"/>
  <c r="I98" i="81" s="1"/>
  <c r="H85" i="81"/>
  <c r="I85" i="81" s="1"/>
  <c r="P43" i="81"/>
  <c r="U43" i="81" s="1"/>
  <c r="P40" i="81"/>
  <c r="U40" i="81" s="1"/>
  <c r="P29" i="81"/>
  <c r="T29" i="81" s="1"/>
  <c r="U29" i="81" s="1"/>
  <c r="P27" i="81"/>
  <c r="T27" i="81" s="1"/>
  <c r="U27" i="81" s="1"/>
  <c r="P25" i="81"/>
  <c r="T25" i="81" s="1"/>
  <c r="U25" i="81" s="1"/>
  <c r="P23" i="81"/>
  <c r="T23" i="81" s="1"/>
  <c r="U23" i="81" s="1"/>
  <c r="P21" i="81"/>
  <c r="T21" i="81" s="1"/>
  <c r="U21" i="81" s="1"/>
  <c r="P19" i="81"/>
  <c r="T19" i="81" s="1"/>
  <c r="U19" i="81" s="1"/>
  <c r="U126" i="81"/>
  <c r="P122" i="81"/>
  <c r="U122" i="81" s="1"/>
  <c r="P17" i="81"/>
  <c r="T17" i="81" s="1"/>
  <c r="U17" i="81" s="1"/>
  <c r="P15" i="81"/>
  <c r="T15" i="81" s="1"/>
  <c r="U15" i="81" s="1"/>
  <c r="P42" i="81"/>
  <c r="U42" i="81" s="1"/>
  <c r="P39" i="81"/>
  <c r="U39" i="81" s="1"/>
  <c r="P123" i="81"/>
  <c r="U123" i="81" s="1"/>
  <c r="P28" i="81"/>
  <c r="T28" i="81" s="1"/>
  <c r="U28" i="81" s="1"/>
  <c r="P26" i="81"/>
  <c r="T26" i="81" s="1"/>
  <c r="U26" i="81" s="1"/>
  <c r="P24" i="81"/>
  <c r="T24" i="81" s="1"/>
  <c r="U24" i="81" s="1"/>
  <c r="P22" i="81"/>
  <c r="T22" i="81" s="1"/>
  <c r="U22" i="81" s="1"/>
  <c r="P20" i="81"/>
  <c r="T20" i="81" s="1"/>
  <c r="U20" i="81" s="1"/>
  <c r="P113" i="81"/>
  <c r="U113" i="81" s="1"/>
  <c r="P18" i="81"/>
  <c r="T18" i="81" s="1"/>
  <c r="P41" i="81"/>
  <c r="U41" i="81" s="1"/>
  <c r="P38" i="81"/>
  <c r="P16" i="81"/>
  <c r="T16" i="81" s="1"/>
  <c r="P121" i="81"/>
  <c r="U121" i="81" s="1"/>
  <c r="P14" i="81"/>
  <c r="I30" i="81"/>
  <c r="I46" i="81" s="1"/>
  <c r="E46" i="81"/>
  <c r="C72" i="81"/>
  <c r="C107" i="81"/>
  <c r="H104" i="81"/>
  <c r="I107" i="81" s="1"/>
  <c r="H88" i="80"/>
  <c r="I88" i="80" s="1"/>
  <c r="H98" i="80"/>
  <c r="I98" i="80" s="1"/>
  <c r="C107" i="80"/>
  <c r="H104" i="80"/>
  <c r="I107" i="80" s="1"/>
  <c r="E46" i="80"/>
  <c r="C72" i="80"/>
  <c r="H73" i="80" s="1"/>
  <c r="P43" i="80"/>
  <c r="U43" i="80" s="1"/>
  <c r="P40" i="80"/>
  <c r="U40" i="80" s="1"/>
  <c r="P29" i="80"/>
  <c r="T29" i="80" s="1"/>
  <c r="U29" i="80" s="1"/>
  <c r="P27" i="80"/>
  <c r="T27" i="80" s="1"/>
  <c r="U27" i="80" s="1"/>
  <c r="P25" i="80"/>
  <c r="T25" i="80" s="1"/>
  <c r="U25" i="80" s="1"/>
  <c r="P23" i="80"/>
  <c r="T23" i="80" s="1"/>
  <c r="U23" i="80" s="1"/>
  <c r="P21" i="80"/>
  <c r="T21" i="80" s="1"/>
  <c r="U21" i="80" s="1"/>
  <c r="P19" i="80"/>
  <c r="T19" i="80" s="1"/>
  <c r="U19" i="80" s="1"/>
  <c r="U126" i="80"/>
  <c r="P122" i="80"/>
  <c r="U122" i="80" s="1"/>
  <c r="P17" i="80"/>
  <c r="T17" i="80" s="1"/>
  <c r="U17" i="80" s="1"/>
  <c r="P15" i="80"/>
  <c r="T15" i="80" s="1"/>
  <c r="U15" i="80" s="1"/>
  <c r="P38" i="80"/>
  <c r="P42" i="80"/>
  <c r="U42" i="80" s="1"/>
  <c r="P41" i="80"/>
  <c r="U41" i="80" s="1"/>
  <c r="P123" i="80"/>
  <c r="U123" i="80" s="1"/>
  <c r="P28" i="80"/>
  <c r="T28" i="80" s="1"/>
  <c r="U28" i="80" s="1"/>
  <c r="P26" i="80"/>
  <c r="T26" i="80" s="1"/>
  <c r="U26" i="80" s="1"/>
  <c r="P24" i="80"/>
  <c r="T24" i="80" s="1"/>
  <c r="U24" i="80" s="1"/>
  <c r="P22" i="80"/>
  <c r="T22" i="80" s="1"/>
  <c r="U22" i="80" s="1"/>
  <c r="P20" i="80"/>
  <c r="T20" i="80" s="1"/>
  <c r="U20" i="80" s="1"/>
  <c r="P113" i="80"/>
  <c r="U113" i="80" s="1"/>
  <c r="P18" i="80"/>
  <c r="T18" i="80" s="1"/>
  <c r="P16" i="80"/>
  <c r="T16" i="80" s="1"/>
  <c r="P121" i="80"/>
  <c r="U121" i="80" s="1"/>
  <c r="P14" i="80"/>
  <c r="P39" i="80"/>
  <c r="U39" i="80" s="1"/>
  <c r="H88" i="81" l="1"/>
  <c r="I88" i="81" s="1"/>
  <c r="H73" i="81"/>
  <c r="H96" i="81" s="1"/>
  <c r="I96" i="81" s="1"/>
  <c r="O106" i="81"/>
  <c r="T106" i="81" s="1"/>
  <c r="U18" i="81"/>
  <c r="P30" i="81"/>
  <c r="T14" i="81"/>
  <c r="U124" i="81"/>
  <c r="O105" i="81"/>
  <c r="T105" i="81" s="1"/>
  <c r="U16" i="81"/>
  <c r="H94" i="81"/>
  <c r="I94" i="81" s="1"/>
  <c r="R44" i="81"/>
  <c r="U38" i="81"/>
  <c r="U44" i="81" s="1"/>
  <c r="P30" i="80"/>
  <c r="T14" i="80"/>
  <c r="U124" i="80"/>
  <c r="O105" i="80"/>
  <c r="T105" i="80" s="1"/>
  <c r="U16" i="80"/>
  <c r="R44" i="80"/>
  <c r="U38" i="80"/>
  <c r="U44" i="80" s="1"/>
  <c r="O106" i="80"/>
  <c r="T106" i="80" s="1"/>
  <c r="U18" i="80"/>
  <c r="H94" i="80"/>
  <c r="I94" i="80" s="1"/>
  <c r="I128" i="80" s="1"/>
  <c r="H96" i="80"/>
  <c r="I96" i="80" s="1"/>
  <c r="I128" i="81" l="1"/>
  <c r="I6" i="72"/>
  <c r="Q6" i="72" s="1"/>
  <c r="T30" i="81"/>
  <c r="P72" i="81" s="1"/>
  <c r="T73" i="81" s="1"/>
  <c r="O104" i="81"/>
  <c r="U14" i="81"/>
  <c r="U30" i="81" s="1"/>
  <c r="P81" i="81"/>
  <c r="T82" i="81" s="1"/>
  <c r="T90" i="81" s="1"/>
  <c r="U90" i="81" s="1"/>
  <c r="P78" i="81"/>
  <c r="T79" i="81" s="1"/>
  <c r="T85" i="81" s="1"/>
  <c r="U85" i="81" s="1"/>
  <c r="P69" i="81"/>
  <c r="T70" i="81" s="1"/>
  <c r="P75" i="81"/>
  <c r="T76" i="81" s="1"/>
  <c r="T92" i="81" s="1"/>
  <c r="U92" i="81" s="1"/>
  <c r="P81" i="80"/>
  <c r="T82" i="80" s="1"/>
  <c r="T90" i="80" s="1"/>
  <c r="U90" i="80" s="1"/>
  <c r="P78" i="80"/>
  <c r="T79" i="80" s="1"/>
  <c r="T85" i="80" s="1"/>
  <c r="U85" i="80" s="1"/>
  <c r="P69" i="80"/>
  <c r="T70" i="80" s="1"/>
  <c r="P75" i="80"/>
  <c r="T76" i="80" s="1"/>
  <c r="T92" i="80" s="1"/>
  <c r="U92" i="80" s="1"/>
  <c r="T30" i="80"/>
  <c r="P72" i="80" s="1"/>
  <c r="T73" i="80" s="1"/>
  <c r="U14" i="80"/>
  <c r="U30" i="80" s="1"/>
  <c r="O104" i="80"/>
  <c r="D120" i="79"/>
  <c r="F55" i="79"/>
  <c r="I130" i="81" l="1"/>
  <c r="J6" i="72"/>
  <c r="I130" i="80"/>
  <c r="I7" i="72"/>
  <c r="T98" i="81"/>
  <c r="U98" i="81" s="1"/>
  <c r="T88" i="81"/>
  <c r="U88" i="81" s="1"/>
  <c r="T104" i="81"/>
  <c r="U107" i="81" s="1"/>
  <c r="O107" i="81"/>
  <c r="R52" i="81"/>
  <c r="U52" i="81" s="1"/>
  <c r="R51" i="81"/>
  <c r="U51" i="81" s="1"/>
  <c r="T94" i="81"/>
  <c r="U94" i="81" s="1"/>
  <c r="T96" i="81"/>
  <c r="U96" i="81" s="1"/>
  <c r="R46" i="81"/>
  <c r="U46" i="81"/>
  <c r="R52" i="80"/>
  <c r="U52" i="80" s="1"/>
  <c r="R51" i="80"/>
  <c r="U51" i="80" s="1"/>
  <c r="R46" i="80"/>
  <c r="T98" i="80"/>
  <c r="U98" i="80" s="1"/>
  <c r="T88" i="80"/>
  <c r="U88" i="80" s="1"/>
  <c r="T104" i="80"/>
  <c r="U107" i="80" s="1"/>
  <c r="O107" i="80"/>
  <c r="T96" i="80"/>
  <c r="U96" i="80" s="1"/>
  <c r="T94" i="80"/>
  <c r="U94" i="80" s="1"/>
  <c r="U46" i="80"/>
  <c r="Q7" i="72" l="1"/>
  <c r="J7" i="72"/>
  <c r="U53" i="81"/>
  <c r="U128" i="81"/>
  <c r="U53" i="80"/>
  <c r="U128" i="80"/>
  <c r="F21" i="71"/>
  <c r="U130" i="81" l="1"/>
  <c r="I133" i="81" s="1"/>
  <c r="H135" i="81" s="1"/>
  <c r="I135" i="81" s="1"/>
  <c r="I137" i="81" s="1"/>
  <c r="U130" i="80"/>
  <c r="I133" i="80" s="1"/>
  <c r="H135" i="80" s="1"/>
  <c r="E114" i="34"/>
  <c r="E113" i="78"/>
  <c r="E113" i="77"/>
  <c r="E114" i="71"/>
  <c r="E113" i="71"/>
  <c r="E113" i="70"/>
  <c r="E113" i="69"/>
  <c r="E113" i="57"/>
  <c r="E114" i="56"/>
  <c r="E113" i="56"/>
  <c r="E113" i="76"/>
  <c r="E113" i="75"/>
  <c r="E113" i="51"/>
  <c r="E114" i="48"/>
  <c r="E113" i="48"/>
  <c r="E113" i="31"/>
  <c r="E113" i="25"/>
  <c r="E113" i="20"/>
  <c r="E114" i="16"/>
  <c r="I139" i="7"/>
  <c r="G120" i="79"/>
  <c r="F120" i="79"/>
  <c r="E120" i="79"/>
  <c r="Q117" i="79"/>
  <c r="I139" i="78" s="1"/>
  <c r="I139" i="70"/>
  <c r="I139" i="69"/>
  <c r="I139" i="67"/>
  <c r="I139" i="66"/>
  <c r="I139" i="58"/>
  <c r="I139" i="57"/>
  <c r="I139" i="56"/>
  <c r="I139" i="55"/>
  <c r="I139" i="76"/>
  <c r="I139" i="75"/>
  <c r="I139" i="52"/>
  <c r="I139" i="51"/>
  <c r="I139" i="50"/>
  <c r="I139" i="48"/>
  <c r="I139" i="47"/>
  <c r="I139" i="45"/>
  <c r="I139" i="44"/>
  <c r="I139" i="43"/>
  <c r="I139" i="42"/>
  <c r="I139" i="40"/>
  <c r="I139" i="39"/>
  <c r="I139" i="38"/>
  <c r="I139" i="37"/>
  <c r="I139" i="36"/>
  <c r="I139" i="23"/>
  <c r="I139" i="35"/>
  <c r="I139" i="34"/>
  <c r="I139" i="33"/>
  <c r="I139" i="32"/>
  <c r="I139" i="31"/>
  <c r="I139" i="28"/>
  <c r="I139" i="27"/>
  <c r="I139" i="26"/>
  <c r="I139" i="22"/>
  <c r="I139" i="24"/>
  <c r="I139" i="25"/>
  <c r="I139" i="21"/>
  <c r="I139" i="20"/>
  <c r="I139" i="18"/>
  <c r="J120" i="79"/>
  <c r="R120" i="79" l="1"/>
  <c r="K6" i="72"/>
  <c r="G6" i="72" s="1"/>
  <c r="I147" i="81"/>
  <c r="I135" i="80"/>
  <c r="I139" i="16"/>
  <c r="Q118" i="79"/>
  <c r="I139" i="30" s="1"/>
  <c r="I139" i="71"/>
  <c r="K120" i="79"/>
  <c r="Q116" i="79"/>
  <c r="I139" i="77" l="1"/>
  <c r="Q120" i="79"/>
  <c r="L6" i="72"/>
  <c r="R6" i="72"/>
  <c r="F6" i="72"/>
  <c r="I141" i="81"/>
  <c r="I137" i="80"/>
  <c r="I141" i="80" s="1"/>
  <c r="I145" i="80" s="1"/>
  <c r="K7" i="72"/>
  <c r="I147" i="80"/>
  <c r="I139" i="17"/>
  <c r="E5" i="64" l="1"/>
  <c r="I140" i="60"/>
  <c r="S6" i="72"/>
  <c r="W6" i="72" s="1"/>
  <c r="G5" i="64"/>
  <c r="M6" i="72"/>
  <c r="M7" i="72"/>
  <c r="E8" i="64"/>
  <c r="G8" i="64" s="1"/>
  <c r="F7" i="72"/>
  <c r="R7" i="72"/>
  <c r="G7" i="72"/>
  <c r="L7" i="72"/>
  <c r="S7" i="72" l="1"/>
  <c r="W7" i="72" s="1"/>
  <c r="R55" i="79" l="1"/>
  <c r="E122" i="79"/>
  <c r="I127"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4" i="25"/>
  <c r="E114" i="21"/>
  <c r="E113" i="22"/>
  <c r="D66" i="24" l="1"/>
  <c r="E65" i="24" l="1"/>
  <c r="E62" i="24"/>
  <c r="E63" i="24"/>
  <c r="E58" i="24"/>
  <c r="E59" i="24"/>
  <c r="E60" i="24"/>
  <c r="E57" i="24"/>
  <c r="E61" i="24"/>
  <c r="E64" i="24"/>
  <c r="C30" i="68" l="1"/>
  <c r="D8" i="72" l="1"/>
  <c r="U126" i="31" l="1"/>
  <c r="U126" i="36"/>
  <c r="H67" i="60"/>
  <c r="H66" i="60"/>
  <c r="H65" i="60"/>
  <c r="H64" i="60"/>
  <c r="H63" i="60"/>
  <c r="H62" i="60"/>
  <c r="H61" i="60"/>
  <c r="H60" i="60"/>
  <c r="H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E58" i="16"/>
  <c r="E57" i="16"/>
  <c r="D66" i="17"/>
  <c r="E63" i="17" s="1"/>
  <c r="C66" i="17"/>
  <c r="E62" i="17"/>
  <c r="E61" i="17"/>
  <c r="E60" i="17"/>
  <c r="E59" i="17"/>
  <c r="E58" i="17"/>
  <c r="E57" i="17"/>
  <c r="D66" i="18"/>
  <c r="C66" i="18"/>
  <c r="E62" i="18"/>
  <c r="E61" i="18"/>
  <c r="E60" i="18"/>
  <c r="E58" i="18"/>
  <c r="E57" i="18"/>
  <c r="D66" i="20"/>
  <c r="C66" i="20"/>
  <c r="E65" i="20"/>
  <c r="E64" i="20"/>
  <c r="E63" i="20"/>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D66" i="50"/>
  <c r="C66" i="50"/>
  <c r="E65" i="50"/>
  <c r="E64" i="50"/>
  <c r="E63" i="50"/>
  <c r="E59" i="50"/>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E65" i="18" l="1"/>
  <c r="E64" i="18"/>
  <c r="E63" i="18"/>
  <c r="E62" i="50"/>
  <c r="E61" i="50"/>
  <c r="I61" i="50" s="1"/>
  <c r="E60" i="50"/>
  <c r="I60" i="50" s="1"/>
  <c r="E61" i="20"/>
  <c r="I61" i="20" s="1"/>
  <c r="E60" i="20"/>
  <c r="I60" i="20" s="1"/>
  <c r="E59" i="20"/>
  <c r="E62" i="20"/>
  <c r="I58" i="17"/>
  <c r="I65" i="18"/>
  <c r="I59" i="50"/>
  <c r="I59" i="17"/>
  <c r="I65" i="20"/>
  <c r="E65" i="7"/>
  <c r="I65" i="7" s="1"/>
  <c r="E63" i="7"/>
  <c r="I59" i="16"/>
  <c r="E65" i="16"/>
  <c r="E64" i="16"/>
  <c r="I57" i="20"/>
  <c r="I64" i="18"/>
  <c r="E58" i="43"/>
  <c r="I58" i="43" s="1"/>
  <c r="E57" i="43"/>
  <c r="I57" i="43" s="1"/>
  <c r="E65" i="43"/>
  <c r="I65" i="43" s="1"/>
  <c r="E60" i="43"/>
  <c r="I60" i="43" s="1"/>
  <c r="E64" i="43"/>
  <c r="I64" i="43" s="1"/>
  <c r="E63" i="43"/>
  <c r="I63" i="43" s="1"/>
  <c r="E62" i="43"/>
  <c r="I62" i="43" s="1"/>
  <c r="E61" i="43"/>
  <c r="I61" i="43" s="1"/>
  <c r="E59" i="43"/>
  <c r="I59" i="43" s="1"/>
  <c r="E64" i="7"/>
  <c r="E62" i="23"/>
  <c r="I62" i="23" s="1"/>
  <c r="E59" i="23"/>
  <c r="I59" i="23" s="1"/>
  <c r="E61" i="23"/>
  <c r="I61" i="23" s="1"/>
  <c r="E60" i="23"/>
  <c r="I60" i="23" s="1"/>
  <c r="E58" i="23"/>
  <c r="I58" i="23" s="1"/>
  <c r="E57" i="23"/>
  <c r="I57" i="23" s="1"/>
  <c r="E64" i="23"/>
  <c r="I64" i="23" s="1"/>
  <c r="E65" i="23"/>
  <c r="I65" i="23" s="1"/>
  <c r="E63" i="23"/>
  <c r="I63" i="23" s="1"/>
  <c r="E62" i="28"/>
  <c r="I62" i="28" s="1"/>
  <c r="E59" i="28"/>
  <c r="I59" i="28" s="1"/>
  <c r="E61" i="28"/>
  <c r="I61" i="28" s="1"/>
  <c r="E60" i="28"/>
  <c r="I60" i="28" s="1"/>
  <c r="E58" i="28"/>
  <c r="I58" i="28" s="1"/>
  <c r="E57" i="28"/>
  <c r="E64" i="28"/>
  <c r="I64" i="28" s="1"/>
  <c r="E65" i="28"/>
  <c r="I65" i="28" s="1"/>
  <c r="E63" i="28"/>
  <c r="I63" i="28" s="1"/>
  <c r="E65" i="22"/>
  <c r="I65" i="22" s="1"/>
  <c r="E64" i="22"/>
  <c r="I64" i="22" s="1"/>
  <c r="E58" i="22"/>
  <c r="E63" i="22"/>
  <c r="I63" i="22" s="1"/>
  <c r="E62" i="22"/>
  <c r="I62" i="22" s="1"/>
  <c r="E61" i="22"/>
  <c r="I61" i="22" s="1"/>
  <c r="E60" i="22"/>
  <c r="I60" i="22" s="1"/>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I64" i="70" s="1"/>
  <c r="E62" i="70"/>
  <c r="I62" i="70" s="1"/>
  <c r="E61" i="70"/>
  <c r="I61" i="70" s="1"/>
  <c r="E60" i="70"/>
  <c r="I60" i="70" s="1"/>
  <c r="E59" i="70"/>
  <c r="I59" i="70" s="1"/>
  <c r="E58" i="70"/>
  <c r="I58" i="70" s="1"/>
  <c r="E57" i="70"/>
  <c r="I57" i="70" s="1"/>
  <c r="E58" i="57"/>
  <c r="I58" i="57" s="1"/>
  <c r="E57" i="57"/>
  <c r="E60" i="57"/>
  <c r="I60" i="57" s="1"/>
  <c r="E65" i="57"/>
  <c r="I65" i="57" s="1"/>
  <c r="E64" i="57"/>
  <c r="I64" i="57" s="1"/>
  <c r="E63" i="57"/>
  <c r="I63" i="57" s="1"/>
  <c r="E61" i="57"/>
  <c r="I61" i="57" s="1"/>
  <c r="E59" i="57"/>
  <c r="I59" i="57" s="1"/>
  <c r="E65" i="51"/>
  <c r="I65" i="51" s="1"/>
  <c r="E64" i="51"/>
  <c r="I64" i="51" s="1"/>
  <c r="E63" i="51"/>
  <c r="I63" i="51" s="1"/>
  <c r="E62" i="51"/>
  <c r="I62" i="51" s="1"/>
  <c r="E61" i="51"/>
  <c r="I61" i="51" s="1"/>
  <c r="E60" i="51"/>
  <c r="E59" i="51"/>
  <c r="I59" i="51" s="1"/>
  <c r="E58" i="51"/>
  <c r="I58" i="51" s="1"/>
  <c r="E57" i="51"/>
  <c r="I57" i="51" s="1"/>
  <c r="E64" i="33"/>
  <c r="I64" i="33" s="1"/>
  <c r="E63" i="33"/>
  <c r="I63" i="33" s="1"/>
  <c r="E62" i="33"/>
  <c r="I62" i="33" s="1"/>
  <c r="E61" i="33"/>
  <c r="I61" i="33" s="1"/>
  <c r="E60" i="33"/>
  <c r="I60" i="33" s="1"/>
  <c r="E58" i="33"/>
  <c r="I58" i="33" s="1"/>
  <c r="E59" i="33"/>
  <c r="E57" i="33"/>
  <c r="I57" i="33" s="1"/>
  <c r="E65" i="33"/>
  <c r="I65" i="33" s="1"/>
  <c r="E59" i="21"/>
  <c r="E58" i="21"/>
  <c r="I58" i="21" s="1"/>
  <c r="E57" i="21"/>
  <c r="I57" i="21" s="1"/>
  <c r="E61" i="21"/>
  <c r="I61" i="21" s="1"/>
  <c r="E60" i="21"/>
  <c r="I60" i="21" s="1"/>
  <c r="E62" i="76"/>
  <c r="I62" i="76" s="1"/>
  <c r="E61" i="76"/>
  <c r="I61" i="76" s="1"/>
  <c r="E60" i="76"/>
  <c r="I60" i="76" s="1"/>
  <c r="E58" i="76"/>
  <c r="I58" i="76" s="1"/>
  <c r="E57" i="76"/>
  <c r="I57" i="76" s="1"/>
  <c r="E64" i="76"/>
  <c r="I64" i="76" s="1"/>
  <c r="E65" i="76"/>
  <c r="I65" i="76" s="1"/>
  <c r="E63" i="76"/>
  <c r="I63" i="76" s="1"/>
  <c r="E59" i="76"/>
  <c r="I59" i="76" s="1"/>
  <c r="E62" i="45"/>
  <c r="I62" i="45" s="1"/>
  <c r="E61" i="45"/>
  <c r="I61" i="45" s="1"/>
  <c r="E60" i="45"/>
  <c r="I60" i="45" s="1"/>
  <c r="E58" i="45"/>
  <c r="I58" i="45" s="1"/>
  <c r="E57" i="45"/>
  <c r="I57" i="45" s="1"/>
  <c r="E64" i="45"/>
  <c r="I64" i="45" s="1"/>
  <c r="E65" i="45"/>
  <c r="I65" i="45" s="1"/>
  <c r="E63" i="45"/>
  <c r="I63" i="45" s="1"/>
  <c r="E59" i="45"/>
  <c r="I59" i="45" s="1"/>
  <c r="E65" i="42"/>
  <c r="I65" i="42" s="1"/>
  <c r="E64" i="42"/>
  <c r="I64" i="42" s="1"/>
  <c r="E63" i="42"/>
  <c r="I63" i="42" s="1"/>
  <c r="E62" i="42"/>
  <c r="I62" i="42" s="1"/>
  <c r="E61" i="42"/>
  <c r="I61" i="42" s="1"/>
  <c r="E60" i="42"/>
  <c r="I60" i="42" s="1"/>
  <c r="E58" i="42"/>
  <c r="I58" i="42" s="1"/>
  <c r="E59" i="42"/>
  <c r="I59" i="42" s="1"/>
  <c r="E57" i="42"/>
  <c r="I57" i="42" s="1"/>
  <c r="E61" i="66"/>
  <c r="I61" i="66" s="1"/>
  <c r="E60" i="66"/>
  <c r="I60" i="66" s="1"/>
  <c r="E59" i="66"/>
  <c r="I59" i="66" s="1"/>
  <c r="E57" i="66"/>
  <c r="E65" i="66"/>
  <c r="I65" i="66" s="1"/>
  <c r="E64" i="66"/>
  <c r="I64" i="66" s="1"/>
  <c r="E63" i="66"/>
  <c r="E62" i="66"/>
  <c r="I62" i="66" s="1"/>
  <c r="E58" i="66"/>
  <c r="I58" i="66" s="1"/>
  <c r="E65" i="37"/>
  <c r="I65" i="37" s="1"/>
  <c r="E64" i="37"/>
  <c r="I64" i="37" s="1"/>
  <c r="E62" i="37"/>
  <c r="I62" i="37" s="1"/>
  <c r="E61" i="37"/>
  <c r="I61" i="37" s="1"/>
  <c r="E60" i="37"/>
  <c r="I60" i="37" s="1"/>
  <c r="E59" i="37"/>
  <c r="I59" i="37" s="1"/>
  <c r="E58" i="37"/>
  <c r="I58" i="37" s="1"/>
  <c r="E57" i="37"/>
  <c r="E63" i="37"/>
  <c r="I63" i="37" s="1"/>
  <c r="E57" i="48"/>
  <c r="I57" i="48" s="1"/>
  <c r="E65" i="48"/>
  <c r="I65" i="48" s="1"/>
  <c r="E64" i="48"/>
  <c r="I64" i="48" s="1"/>
  <c r="E63" i="48"/>
  <c r="I63" i="48" s="1"/>
  <c r="E62" i="48"/>
  <c r="I62" i="48" s="1"/>
  <c r="E58" i="48"/>
  <c r="I58" i="48" s="1"/>
  <c r="E61" i="48"/>
  <c r="I61" i="48" s="1"/>
  <c r="E60" i="48"/>
  <c r="I60" i="48" s="1"/>
  <c r="E59" i="48"/>
  <c r="I59" i="48" s="1"/>
  <c r="E61" i="27"/>
  <c r="I61" i="27" s="1"/>
  <c r="E60" i="27"/>
  <c r="I60" i="27" s="1"/>
  <c r="E59" i="27"/>
  <c r="I59" i="27" s="1"/>
  <c r="E58" i="27"/>
  <c r="I58" i="27" s="1"/>
  <c r="E57" i="27"/>
  <c r="E65" i="27"/>
  <c r="I65" i="27" s="1"/>
  <c r="E64" i="27"/>
  <c r="I64" i="27" s="1"/>
  <c r="E63" i="27"/>
  <c r="I63" i="27" s="1"/>
  <c r="E62" i="27"/>
  <c r="I62" i="27" s="1"/>
  <c r="E60" i="68"/>
  <c r="I60" i="68" s="1"/>
  <c r="E57" i="68"/>
  <c r="I57" i="68" s="1"/>
  <c r="E59" i="68"/>
  <c r="I59" i="68" s="1"/>
  <c r="E58" i="68"/>
  <c r="I58" i="68" s="1"/>
  <c r="E62" i="68"/>
  <c r="I62" i="68" s="1"/>
  <c r="E65" i="68"/>
  <c r="I65" i="68" s="1"/>
  <c r="E64" i="68"/>
  <c r="I64" i="68" s="1"/>
  <c r="E63" i="68"/>
  <c r="I63" i="68" s="1"/>
  <c r="E61" i="68"/>
  <c r="I61" i="68" s="1"/>
  <c r="E65" i="69"/>
  <c r="I65" i="69" s="1"/>
  <c r="E64" i="69"/>
  <c r="I64" i="69" s="1"/>
  <c r="E62" i="69"/>
  <c r="I62" i="69" s="1"/>
  <c r="E63" i="69"/>
  <c r="I63" i="69" s="1"/>
  <c r="E61" i="69"/>
  <c r="I61" i="69" s="1"/>
  <c r="E60" i="69"/>
  <c r="I60" i="69" s="1"/>
  <c r="E59" i="69"/>
  <c r="I59" i="69" s="1"/>
  <c r="E58" i="69"/>
  <c r="I58" i="69" s="1"/>
  <c r="E57" i="69"/>
  <c r="I57" i="69" s="1"/>
  <c r="E64" i="56"/>
  <c r="I64" i="56" s="1"/>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I62" i="75" s="1"/>
  <c r="E65" i="75"/>
  <c r="I65" i="75" s="1"/>
  <c r="E64" i="75"/>
  <c r="I64" i="75" s="1"/>
  <c r="E63" i="75"/>
  <c r="I63" i="75" s="1"/>
  <c r="E61" i="75"/>
  <c r="I61" i="75" s="1"/>
  <c r="E65" i="40"/>
  <c r="I65" i="40" s="1"/>
  <c r="E64" i="40"/>
  <c r="I64" i="40" s="1"/>
  <c r="E63" i="40"/>
  <c r="I63" i="40" s="1"/>
  <c r="E62" i="40"/>
  <c r="I62" i="40" s="1"/>
  <c r="E61" i="40"/>
  <c r="E60" i="40"/>
  <c r="I60" i="40" s="1"/>
  <c r="E59" i="40"/>
  <c r="I59" i="40" s="1"/>
  <c r="E58" i="40"/>
  <c r="I58" i="40" s="1"/>
  <c r="E57" i="40"/>
  <c r="I57" i="40" s="1"/>
  <c r="E60" i="35"/>
  <c r="I60" i="35" s="1"/>
  <c r="E59" i="35"/>
  <c r="I59" i="35" s="1"/>
  <c r="E58" i="35"/>
  <c r="I58" i="35" s="1"/>
  <c r="E57" i="35"/>
  <c r="I57" i="35" s="1"/>
  <c r="E62" i="35"/>
  <c r="I62" i="35" s="1"/>
  <c r="E65" i="35"/>
  <c r="I65" i="35" s="1"/>
  <c r="E64" i="35"/>
  <c r="I64" i="35" s="1"/>
  <c r="E63" i="35"/>
  <c r="I63" i="35" s="1"/>
  <c r="E61" i="35"/>
  <c r="I61" i="35" s="1"/>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I61" i="36" s="1"/>
  <c r="E62" i="36"/>
  <c r="I62" i="36" s="1"/>
  <c r="E60" i="36"/>
  <c r="I60" i="36" s="1"/>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I57" i="32" s="1"/>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I58" i="44" s="1"/>
  <c r="E65" i="44"/>
  <c r="I65" i="44" s="1"/>
  <c r="E64" i="44"/>
  <c r="I64" i="44" s="1"/>
  <c r="E63" i="44"/>
  <c r="I63" i="44" s="1"/>
  <c r="E62" i="44"/>
  <c r="I62" i="44" s="1"/>
  <c r="E61" i="44"/>
  <c r="I61" i="44" s="1"/>
  <c r="E58" i="52"/>
  <c r="I58" i="52" s="1"/>
  <c r="E57" i="52"/>
  <c r="E65" i="52"/>
  <c r="I65" i="52" s="1"/>
  <c r="E64" i="52"/>
  <c r="I64" i="52" s="1"/>
  <c r="E63" i="52"/>
  <c r="I63" i="52" s="1"/>
  <c r="E62" i="52"/>
  <c r="I62" i="52" s="1"/>
  <c r="E60" i="52"/>
  <c r="I60" i="52" s="1"/>
  <c r="E61" i="52"/>
  <c r="I61" i="52" s="1"/>
  <c r="E59" i="52"/>
  <c r="I59" i="52" s="1"/>
  <c r="E65" i="47"/>
  <c r="I65" i="47" s="1"/>
  <c r="E62" i="47"/>
  <c r="I62" i="47" s="1"/>
  <c r="E64" i="47"/>
  <c r="I64" i="47" s="1"/>
  <c r="E63" i="47"/>
  <c r="I63" i="47" s="1"/>
  <c r="E61" i="47"/>
  <c r="I61" i="47" s="1"/>
  <c r="E60" i="47"/>
  <c r="I60" i="47" s="1"/>
  <c r="E59" i="47"/>
  <c r="I59" i="47" s="1"/>
  <c r="E58" i="47"/>
  <c r="I58" i="47" s="1"/>
  <c r="E57" i="47"/>
  <c r="I57" i="47" s="1"/>
  <c r="E65" i="39"/>
  <c r="I65" i="39" s="1"/>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I63" i="31" s="1"/>
  <c r="E62" i="31"/>
  <c r="I62" i="31" s="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I57" i="71" s="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I59" i="38" s="1"/>
  <c r="E58" i="38"/>
  <c r="I58" i="38" s="1"/>
  <c r="E65" i="38"/>
  <c r="I65" i="38" s="1"/>
  <c r="E64" i="38"/>
  <c r="I64" i="38" s="1"/>
  <c r="E63" i="38"/>
  <c r="I63" i="38" s="1"/>
  <c r="E61" i="38"/>
  <c r="I61" i="38" s="1"/>
  <c r="E65" i="17"/>
  <c r="I65" i="17" s="1"/>
  <c r="E64" i="17"/>
  <c r="I64" i="17" s="1"/>
  <c r="I64" i="16"/>
  <c r="E63" i="16"/>
  <c r="I63" i="16" s="1"/>
  <c r="I63" i="24"/>
  <c r="I58" i="16"/>
  <c r="I58" i="20"/>
  <c r="I60" i="7"/>
  <c r="U57" i="38"/>
  <c r="U66" i="38" s="1"/>
  <c r="U57" i="22"/>
  <c r="U66" i="22" s="1"/>
  <c r="I62" i="7"/>
  <c r="I61" i="7"/>
  <c r="I63" i="18"/>
  <c r="I57" i="7"/>
  <c r="I58" i="7"/>
  <c r="U57" i="27"/>
  <c r="U66" i="27" s="1"/>
  <c r="I59" i="7"/>
  <c r="I65" i="70"/>
  <c r="I65" i="50"/>
  <c r="U66" i="37"/>
  <c r="U66" i="24"/>
  <c r="I60" i="18"/>
  <c r="I65" i="16"/>
  <c r="I64" i="21"/>
  <c r="I57" i="50"/>
  <c r="I59" i="18"/>
  <c r="U66" i="35"/>
  <c r="U66" i="20"/>
  <c r="I63" i="66"/>
  <c r="I63" i="17"/>
  <c r="U66" i="32"/>
  <c r="U66" i="16"/>
  <c r="I63" i="50"/>
  <c r="I63" i="21"/>
  <c r="I64" i="20"/>
  <c r="I61" i="26"/>
  <c r="I65" i="21"/>
  <c r="I58" i="18"/>
  <c r="U66" i="71"/>
  <c r="U66" i="51"/>
  <c r="U66" i="36"/>
  <c r="U66" i="25"/>
  <c r="U66" i="23"/>
  <c r="U66" i="21"/>
  <c r="U66" i="47"/>
  <c r="U66" i="34"/>
  <c r="U66" i="18"/>
  <c r="I57" i="22"/>
  <c r="U66" i="33"/>
  <c r="U66" i="17"/>
  <c r="I62" i="21"/>
  <c r="U66" i="57"/>
  <c r="U66" i="43"/>
  <c r="U66" i="31"/>
  <c r="U66" i="28"/>
  <c r="U66" i="39"/>
  <c r="U66" i="26"/>
  <c r="U66" i="77"/>
  <c r="U66" i="75"/>
  <c r="U66" i="68"/>
  <c r="U66" i="52"/>
  <c r="U66" i="70"/>
  <c r="U66" i="50"/>
  <c r="U66" i="69"/>
  <c r="U66" i="48"/>
  <c r="U66" i="67"/>
  <c r="U66" i="66"/>
  <c r="U66" i="45"/>
  <c r="U66" i="58"/>
  <c r="U66" i="44"/>
  <c r="U66" i="56"/>
  <c r="U66" i="42"/>
  <c r="U66" i="30"/>
  <c r="U66" i="55"/>
  <c r="U66" i="40"/>
  <c r="U66" i="78"/>
  <c r="U66" i="76"/>
  <c r="I57" i="24"/>
  <c r="I59" i="20"/>
  <c r="I64" i="50"/>
  <c r="I58" i="50"/>
  <c r="I62" i="24"/>
  <c r="I61" i="17"/>
  <c r="I62" i="16"/>
  <c r="I64" i="24"/>
  <c r="I62" i="20"/>
  <c r="I61" i="18"/>
  <c r="I65" i="24"/>
  <c r="I63" i="20"/>
  <c r="I62" i="18"/>
  <c r="I62" i="17"/>
  <c r="I58" i="75"/>
  <c r="I62" i="57"/>
  <c r="I61" i="31"/>
  <c r="I59" i="22"/>
  <c r="I59" i="24"/>
  <c r="I62" i="50"/>
  <c r="I60" i="17"/>
  <c r="I60" i="16"/>
  <c r="I57" i="18"/>
  <c r="I57" i="16"/>
  <c r="I57" i="17"/>
  <c r="I57" i="27"/>
  <c r="E66" i="24"/>
  <c r="I57" i="28"/>
  <c r="I61" i="16"/>
  <c r="E66" i="18"/>
  <c r="E66" i="20"/>
  <c r="I60" i="51"/>
  <c r="E66" i="50" l="1"/>
  <c r="E63" i="60"/>
  <c r="E64" i="60"/>
  <c r="I59" i="21"/>
  <c r="I66" i="21" s="1"/>
  <c r="E61" i="60"/>
  <c r="E60" i="60"/>
  <c r="E59" i="60"/>
  <c r="E62" i="60"/>
  <c r="E65" i="60"/>
  <c r="E67" i="60"/>
  <c r="I64" i="7"/>
  <c r="E66" i="60"/>
  <c r="I67" i="60"/>
  <c r="I64" i="60"/>
  <c r="I66" i="60"/>
  <c r="I62" i="60"/>
  <c r="E66" i="16"/>
  <c r="E66" i="33"/>
  <c r="I59" i="33"/>
  <c r="I66" i="33" s="1"/>
  <c r="E66" i="27"/>
  <c r="E66" i="34"/>
  <c r="E66" i="31"/>
  <c r="E66" i="7"/>
  <c r="E66" i="30"/>
  <c r="E66" i="78"/>
  <c r="I59" i="78"/>
  <c r="I66" i="78" s="1"/>
  <c r="E66" i="71"/>
  <c r="E66" i="67"/>
  <c r="E66" i="58"/>
  <c r="E66" i="56"/>
  <c r="E66" i="55"/>
  <c r="E66" i="52"/>
  <c r="E66" i="51"/>
  <c r="E66" i="45"/>
  <c r="E66" i="42"/>
  <c r="E66" i="40"/>
  <c r="E66" i="39"/>
  <c r="E66" i="37"/>
  <c r="E66" i="35"/>
  <c r="I59" i="34"/>
  <c r="I66" i="34" s="1"/>
  <c r="E66" i="22"/>
  <c r="I58" i="22"/>
  <c r="I66" i="22" s="1"/>
  <c r="E66" i="25"/>
  <c r="E66" i="23"/>
  <c r="E66" i="28"/>
  <c r="E66" i="77"/>
  <c r="E66" i="68"/>
  <c r="E66" i="70"/>
  <c r="E66" i="69"/>
  <c r="E66" i="66"/>
  <c r="I57" i="66"/>
  <c r="I66" i="66" s="1"/>
  <c r="E66" i="57"/>
  <c r="I57" i="57"/>
  <c r="I66" i="57" s="1"/>
  <c r="E66" i="76"/>
  <c r="E66" i="75"/>
  <c r="I57" i="52"/>
  <c r="I66" i="52" s="1"/>
  <c r="E66" i="48"/>
  <c r="E66" i="47"/>
  <c r="E66" i="44"/>
  <c r="E66" i="43"/>
  <c r="I61" i="40"/>
  <c r="I66" i="40" s="1"/>
  <c r="I57" i="39"/>
  <c r="I66" i="39" s="1"/>
  <c r="I57" i="37"/>
  <c r="I66" i="37" s="1"/>
  <c r="E66" i="36"/>
  <c r="E66" i="32"/>
  <c r="E66" i="26"/>
  <c r="I58" i="25"/>
  <c r="I66" i="25" s="1"/>
  <c r="E66" i="21"/>
  <c r="I63" i="7"/>
  <c r="E66" i="38"/>
  <c r="E66" i="17"/>
  <c r="I66" i="35"/>
  <c r="I66" i="30"/>
  <c r="I66" i="47"/>
  <c r="I66" i="68"/>
  <c r="I66" i="45"/>
  <c r="I66" i="18"/>
  <c r="I66" i="51"/>
  <c r="I66" i="56"/>
  <c r="I66" i="43"/>
  <c r="I66" i="50"/>
  <c r="I66" i="20"/>
  <c r="I66" i="24"/>
  <c r="I66" i="44"/>
  <c r="I66" i="48"/>
  <c r="I66" i="70"/>
  <c r="I66" i="17"/>
  <c r="I66" i="58"/>
  <c r="I66" i="69"/>
  <c r="I66" i="23"/>
  <c r="I66" i="42"/>
  <c r="I66" i="38"/>
  <c r="I66" i="71"/>
  <c r="I66" i="55"/>
  <c r="I66" i="76"/>
  <c r="I66" i="75"/>
  <c r="I66" i="31"/>
  <c r="I66" i="27"/>
  <c r="I66" i="26"/>
  <c r="I66" i="16"/>
  <c r="I66" i="36"/>
  <c r="I66" i="77"/>
  <c r="I66" i="28"/>
  <c r="I66" i="32"/>
  <c r="I66" i="67"/>
  <c r="I63" i="60" l="1"/>
  <c r="I59" i="60"/>
  <c r="I61" i="60"/>
  <c r="I60" i="60"/>
  <c r="I66" i="7"/>
  <c r="I65" i="60"/>
  <c r="E68" i="60"/>
  <c r="I68" i="60" l="1"/>
  <c r="D120" i="60"/>
  <c r="C120" i="60"/>
  <c r="G115" i="60"/>
  <c r="G114" i="60"/>
  <c r="H54" i="60"/>
  <c r="H53" i="60"/>
  <c r="D12" i="60"/>
  <c r="D58" i="60" s="1"/>
  <c r="C12" i="60"/>
  <c r="C58" i="60" s="1"/>
  <c r="D11" i="60"/>
  <c r="C11" i="60"/>
  <c r="D37" i="60" l="1"/>
  <c r="D57" i="60"/>
  <c r="C37" i="60"/>
  <c r="C57" i="60"/>
  <c r="I144" i="60" l="1"/>
  <c r="F107" i="60"/>
  <c r="F106" i="60"/>
  <c r="F105" i="60"/>
  <c r="D107" i="60"/>
  <c r="D106" i="60"/>
  <c r="D105" i="60"/>
  <c r="F97" i="60"/>
  <c r="F95" i="60"/>
  <c r="F93" i="60"/>
  <c r="F91" i="60"/>
  <c r="F89" i="60"/>
  <c r="F86" i="60"/>
  <c r="H83" i="60"/>
  <c r="H80" i="60"/>
  <c r="H77" i="60"/>
  <c r="H74" i="60"/>
  <c r="E124" i="60"/>
  <c r="H123" i="60"/>
  <c r="F123" i="60"/>
  <c r="H122" i="60"/>
  <c r="H124" i="60" s="1"/>
  <c r="H9" i="60"/>
  <c r="I124"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20" l="1"/>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4" i="60" s="1"/>
  <c r="E113" i="44"/>
  <c r="E113" i="68"/>
  <c r="E113" i="30"/>
  <c r="E115" i="60" l="1"/>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D54" i="72" l="1"/>
  <c r="U54" i="72"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E14" i="24" s="1"/>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5" i="60" s="1"/>
  <c r="R104" i="7"/>
  <c r="E105" i="7"/>
  <c r="E106" i="60" s="1"/>
  <c r="R105" i="7"/>
  <c r="E106" i="7"/>
  <c r="E107" i="60" s="1"/>
  <c r="R106" i="7"/>
  <c r="I113" i="7"/>
  <c r="T113" i="7"/>
  <c r="I114" i="7"/>
  <c r="T114" i="7"/>
  <c r="U114" i="7" s="1"/>
  <c r="H121" i="7"/>
  <c r="R121" i="7"/>
  <c r="R122" i="7" s="1"/>
  <c r="F122" i="7"/>
  <c r="H122" i="7"/>
  <c r="T122" i="7" s="1"/>
  <c r="A3" i="60"/>
  <c r="A7" i="60"/>
  <c r="C8" i="60"/>
  <c r="H8" i="60"/>
  <c r="I10" i="60"/>
  <c r="F14" i="60"/>
  <c r="F15" i="60"/>
  <c r="F16" i="60"/>
  <c r="F17" i="60"/>
  <c r="F18" i="60"/>
  <c r="F19" i="60"/>
  <c r="F20" i="60"/>
  <c r="F21" i="60"/>
  <c r="F22" i="60"/>
  <c r="F23" i="60"/>
  <c r="F24" i="60"/>
  <c r="F25" i="60"/>
  <c r="F26" i="60"/>
  <c r="F27" i="60"/>
  <c r="F28" i="60"/>
  <c r="F29" i="60"/>
  <c r="C31" i="60"/>
  <c r="D31" i="60"/>
  <c r="E122" i="60" s="1"/>
  <c r="I122" i="60" s="1"/>
  <c r="C39" i="60"/>
  <c r="D39" i="60"/>
  <c r="C40" i="60"/>
  <c r="D40" i="60"/>
  <c r="C41" i="60"/>
  <c r="D41" i="60"/>
  <c r="C42" i="60"/>
  <c r="D42" i="60"/>
  <c r="C43" i="60"/>
  <c r="D43" i="60"/>
  <c r="C44" i="60"/>
  <c r="D44" i="60"/>
  <c r="B2" i="64"/>
  <c r="A37" i="64"/>
  <c r="A53" i="64" s="1"/>
  <c r="A60" i="64" s="1"/>
  <c r="A72" i="64" s="1"/>
  <c r="A80" i="64" s="1"/>
  <c r="A90" i="64" s="1"/>
  <c r="A101" i="64" s="1"/>
  <c r="A110" i="64" s="1"/>
  <c r="A118" i="64" s="1"/>
  <c r="A125" i="64" s="1"/>
  <c r="A134" i="64" s="1"/>
  <c r="A143" i="64" s="1"/>
  <c r="A152" i="64" s="1"/>
  <c r="A162" i="64" s="1"/>
  <c r="A171" i="64" s="1"/>
  <c r="A179" i="64" s="1"/>
  <c r="A186" i="64" s="1"/>
  <c r="A194" i="64" s="1"/>
  <c r="A205" i="64" s="1"/>
  <c r="A213" i="64" s="1"/>
  <c r="A224" i="64" s="1"/>
  <c r="A234" i="64" s="1"/>
  <c r="A243" i="64" s="1"/>
  <c r="A253" i="64" s="1"/>
  <c r="A263" i="64" s="1"/>
  <c r="A271" i="64" s="1"/>
  <c r="A279" i="64" s="1"/>
  <c r="A288" i="64" s="1"/>
  <c r="A298" i="64" s="1"/>
  <c r="A306" i="64" s="1"/>
  <c r="A315" i="64" s="1"/>
  <c r="A324" i="64" s="1"/>
  <c r="A334" i="64" s="1"/>
  <c r="A344" i="64" s="1"/>
  <c r="A355" i="64" s="1"/>
  <c r="A362" i="64" s="1"/>
  <c r="A371" i="64" s="1"/>
  <c r="A380" i="64" s="1"/>
  <c r="A387" i="64" s="1"/>
  <c r="A396" i="64" s="1"/>
  <c r="A406" i="64" s="1"/>
  <c r="A416" i="64" s="1"/>
  <c r="A425" i="64" s="1"/>
  <c r="A433" i="64" s="1"/>
  <c r="A443" i="64" s="1"/>
  <c r="A452" i="64" s="1"/>
  <c r="L42" i="64"/>
  <c r="D9" i="72"/>
  <c r="D10" i="72"/>
  <c r="U10" i="72" s="1"/>
  <c r="D11" i="72"/>
  <c r="U11" i="72" s="1"/>
  <c r="D12" i="72"/>
  <c r="D13" i="72"/>
  <c r="D14" i="72"/>
  <c r="D15" i="72"/>
  <c r="U15" i="72" s="1"/>
  <c r="D16" i="72"/>
  <c r="U16" i="72" s="1"/>
  <c r="D17" i="72"/>
  <c r="U17" i="72" s="1"/>
  <c r="D18" i="72"/>
  <c r="D19" i="72"/>
  <c r="D20" i="72"/>
  <c r="U20" i="72" s="1"/>
  <c r="D21" i="72"/>
  <c r="U21" i="72" s="1"/>
  <c r="D22" i="72"/>
  <c r="U22" i="72" s="1"/>
  <c r="D23" i="72"/>
  <c r="D24" i="72"/>
  <c r="U24" i="72" s="1"/>
  <c r="D25" i="72"/>
  <c r="U25" i="72" s="1"/>
  <c r="D26" i="72"/>
  <c r="U26" i="72" s="1"/>
  <c r="D27" i="72"/>
  <c r="D28" i="72"/>
  <c r="U28" i="72" s="1"/>
  <c r="D29" i="72"/>
  <c r="D30" i="72"/>
  <c r="U30" i="72" s="1"/>
  <c r="D31" i="72"/>
  <c r="U31" i="72" s="1"/>
  <c r="D32" i="72"/>
  <c r="D33" i="72"/>
  <c r="D34" i="72"/>
  <c r="U34" i="72" s="1"/>
  <c r="D35" i="72"/>
  <c r="U35" i="72" s="1"/>
  <c r="D36" i="72"/>
  <c r="U36" i="72" s="1"/>
  <c r="D37" i="72"/>
  <c r="D38" i="72"/>
  <c r="D39" i="72"/>
  <c r="U39" i="72" s="1"/>
  <c r="D40" i="72"/>
  <c r="U40" i="72" s="1"/>
  <c r="D41" i="72"/>
  <c r="U41" i="72" s="1"/>
  <c r="D42" i="72"/>
  <c r="D43" i="72"/>
  <c r="U43" i="72" s="1"/>
  <c r="D44" i="72"/>
  <c r="U44" i="72" s="1"/>
  <c r="D45" i="72"/>
  <c r="D46" i="72"/>
  <c r="U46" i="72" s="1"/>
  <c r="D47" i="72"/>
  <c r="U47" i="72" s="1"/>
  <c r="D48" i="72"/>
  <c r="U48" i="72" s="1"/>
  <c r="D49" i="72"/>
  <c r="U49" i="72" s="1"/>
  <c r="D50" i="72"/>
  <c r="U50" i="72" s="1"/>
  <c r="D51" i="72"/>
  <c r="U51" i="72" s="1"/>
  <c r="D52" i="72"/>
  <c r="U52" i="72" s="1"/>
  <c r="D53" i="72"/>
  <c r="U53" i="72" s="1"/>
  <c r="T69" i="16" l="1"/>
  <c r="E121" i="22"/>
  <c r="E22" i="22"/>
  <c r="E19" i="22"/>
  <c r="J19" i="22" s="1"/>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H18" i="43" s="1"/>
  <c r="I18" i="43" s="1"/>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E106" i="17"/>
  <c r="E106" i="21"/>
  <c r="E106" i="52"/>
  <c r="E106" i="77"/>
  <c r="E23" i="7"/>
  <c r="E20" i="7"/>
  <c r="E106" i="45"/>
  <c r="E105" i="52"/>
  <c r="E104" i="17"/>
  <c r="T8" i="50"/>
  <c r="E106" i="22"/>
  <c r="E106" i="27"/>
  <c r="E104" i="43"/>
  <c r="E105" i="45"/>
  <c r="E104" i="26"/>
  <c r="E106" i="50"/>
  <c r="E105" i="58"/>
  <c r="E104" i="30"/>
  <c r="E105" i="27"/>
  <c r="E104" i="45"/>
  <c r="E29" i="7"/>
  <c r="E105" i="40"/>
  <c r="P105" i="20"/>
  <c r="P104" i="20"/>
  <c r="P104" i="43"/>
  <c r="P106" i="43"/>
  <c r="E43" i="7"/>
  <c r="I43" i="7" s="1"/>
  <c r="E28" i="7"/>
  <c r="E22" i="7"/>
  <c r="T114" i="45"/>
  <c r="U114" i="45" s="1"/>
  <c r="E42" i="7"/>
  <c r="I42" i="7" s="1"/>
  <c r="E105" i="21"/>
  <c r="E41" i="7"/>
  <c r="I41" i="7" s="1"/>
  <c r="E104" i="20"/>
  <c r="T113" i="33"/>
  <c r="E105" i="50"/>
  <c r="E40" i="7"/>
  <c r="I40" i="7" s="1"/>
  <c r="E27" i="7"/>
  <c r="E21" i="7"/>
  <c r="T8" i="21"/>
  <c r="P106" i="21" s="1"/>
  <c r="T114" i="31"/>
  <c r="U114" i="31" s="1"/>
  <c r="E19" i="7"/>
  <c r="T8" i="17"/>
  <c r="P104" i="17" s="1"/>
  <c r="I114" i="35"/>
  <c r="H18" i="7"/>
  <c r="E25" i="7"/>
  <c r="E14" i="7"/>
  <c r="E106" i="25"/>
  <c r="D56" i="72"/>
  <c r="D45" i="60"/>
  <c r="E24" i="7"/>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U12" i="72"/>
  <c r="T8" i="16"/>
  <c r="E104" i="16"/>
  <c r="E106" i="16"/>
  <c r="E17" i="22"/>
  <c r="J17" i="22" s="1"/>
  <c r="E27" i="22"/>
  <c r="H27" i="22" s="1"/>
  <c r="I27" i="22" s="1"/>
  <c r="E14" i="22"/>
  <c r="E29" i="22"/>
  <c r="H29" i="22" s="1"/>
  <c r="I29" i="22" s="1"/>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T123" i="17"/>
  <c r="H123" i="7"/>
  <c r="T121" i="7"/>
  <c r="E105" i="16"/>
  <c r="I114" i="16"/>
  <c r="T114" i="16"/>
  <c r="U114" i="16" s="1"/>
  <c r="I122" i="17"/>
  <c r="I123" i="17"/>
  <c r="C30" i="60"/>
  <c r="C32" i="60" s="1"/>
  <c r="R94" i="18"/>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I115" i="60" l="1"/>
  <c r="I114" i="60"/>
  <c r="E18" i="60"/>
  <c r="E15" i="60"/>
  <c r="E16" i="60"/>
  <c r="J17" i="7"/>
  <c r="E17" i="60"/>
  <c r="H28" i="7"/>
  <c r="H28" i="60" s="1"/>
  <c r="E28" i="60"/>
  <c r="H24" i="7"/>
  <c r="E24" i="60"/>
  <c r="H21" i="7"/>
  <c r="I21" i="7" s="1"/>
  <c r="E21" i="60"/>
  <c r="H27" i="7"/>
  <c r="I27" i="7" s="1"/>
  <c r="I27" i="60" s="1"/>
  <c r="E27" i="60"/>
  <c r="H26" i="7"/>
  <c r="H26" i="60" s="1"/>
  <c r="E26" i="60"/>
  <c r="H14" i="7"/>
  <c r="I14" i="7" s="1"/>
  <c r="E14" i="60"/>
  <c r="H25" i="7"/>
  <c r="I25" i="7" s="1"/>
  <c r="E25" i="60"/>
  <c r="H29" i="7"/>
  <c r="I29" i="7" s="1"/>
  <c r="E29" i="60"/>
  <c r="J19" i="7"/>
  <c r="E19" i="60"/>
  <c r="H20" i="7"/>
  <c r="I20" i="7" s="1"/>
  <c r="I20" i="60" s="1"/>
  <c r="E20" i="60"/>
  <c r="H22" i="7"/>
  <c r="I22" i="7" s="1"/>
  <c r="I22" i="60" s="1"/>
  <c r="E22" i="60"/>
  <c r="H23" i="7"/>
  <c r="I23" i="7" s="1"/>
  <c r="E23" i="60"/>
  <c r="H19" i="35"/>
  <c r="I19" i="35" s="1"/>
  <c r="I123" i="69"/>
  <c r="I124" i="69" s="1"/>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18" i="7"/>
  <c r="I18" i="60" s="1"/>
  <c r="H18" i="60"/>
  <c r="I24" i="7"/>
  <c r="I24" i="60" s="1"/>
  <c r="H24"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I44" i="38"/>
  <c r="E44" i="39"/>
  <c r="I44" i="25"/>
  <c r="E30" i="34"/>
  <c r="H17" i="71"/>
  <c r="I17" i="71" s="1"/>
  <c r="E44" i="69"/>
  <c r="P105" i="28"/>
  <c r="P104" i="28"/>
  <c r="E44" i="21"/>
  <c r="I44" i="21"/>
  <c r="H19" i="32"/>
  <c r="I19" i="32" s="1"/>
  <c r="H14" i="52"/>
  <c r="H17" i="76"/>
  <c r="I17" i="76" s="1"/>
  <c r="E44" i="50"/>
  <c r="I124" i="43"/>
  <c r="T123" i="16"/>
  <c r="I124" i="67"/>
  <c r="I124" i="47"/>
  <c r="I44" i="32"/>
  <c r="I44" i="18"/>
  <c r="H19" i="78"/>
  <c r="I19" i="78" s="1"/>
  <c r="I124" i="24"/>
  <c r="I123" i="33"/>
  <c r="I124" i="33" s="1"/>
  <c r="I124" i="28"/>
  <c r="P105" i="33"/>
  <c r="P106" i="50"/>
  <c r="P104" i="23"/>
  <c r="P105" i="17"/>
  <c r="P106" i="17"/>
  <c r="P104" i="66"/>
  <c r="P105" i="66"/>
  <c r="P105" i="37"/>
  <c r="P104" i="37"/>
  <c r="I44" i="50"/>
  <c r="D32" i="60"/>
  <c r="E123" i="60" s="1"/>
  <c r="I123" i="60" s="1"/>
  <c r="I125"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I44" i="16"/>
  <c r="H15" i="22"/>
  <c r="I15" i="22" s="1"/>
  <c r="I43" i="60"/>
  <c r="E43" i="60"/>
  <c r="H17" i="18"/>
  <c r="I17" i="18" s="1"/>
  <c r="H23" i="16"/>
  <c r="H23" i="60" s="1"/>
  <c r="E42" i="60"/>
  <c r="E44" i="16"/>
  <c r="I123" i="78"/>
  <c r="I124" i="78" s="1"/>
  <c r="T123" i="78"/>
  <c r="P106" i="67"/>
  <c r="P104" i="67"/>
  <c r="P105" i="67"/>
  <c r="H17" i="58"/>
  <c r="I17" i="58" s="1"/>
  <c r="H19" i="66"/>
  <c r="I19" i="66" s="1"/>
  <c r="E30" i="56"/>
  <c r="H15" i="48"/>
  <c r="I15" i="48" s="1"/>
  <c r="E30" i="50"/>
  <c r="H14" i="50"/>
  <c r="I14" i="50" s="1"/>
  <c r="P106" i="42"/>
  <c r="P104" i="42"/>
  <c r="P105" i="42"/>
  <c r="E44" i="27"/>
  <c r="H15" i="31"/>
  <c r="I15" i="31" s="1"/>
  <c r="H17" i="28"/>
  <c r="I17" i="28" s="1"/>
  <c r="H14" i="28"/>
  <c r="I14" i="28" s="1"/>
  <c r="E30" i="28"/>
  <c r="E30" i="17"/>
  <c r="H14" i="17"/>
  <c r="I14" i="17" s="1"/>
  <c r="E44" i="2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17" i="24"/>
  <c r="I17" i="24" s="1"/>
  <c r="H15" i="21"/>
  <c r="I15" i="21" s="1"/>
  <c r="I123" i="25"/>
  <c r="I124" i="25" s="1"/>
  <c r="T123" i="25"/>
  <c r="H16" i="7"/>
  <c r="H19" i="28"/>
  <c r="I19" i="28" s="1"/>
  <c r="E44" i="71"/>
  <c r="I44" i="71"/>
  <c r="H15" i="58"/>
  <c r="I15" i="58" s="1"/>
  <c r="I124" i="76"/>
  <c r="I123" i="50"/>
  <c r="I124" i="50" s="1"/>
  <c r="T123" i="50"/>
  <c r="P105" i="39"/>
  <c r="P104" i="39"/>
  <c r="P106" i="39"/>
  <c r="E44" i="34"/>
  <c r="H15" i="18"/>
  <c r="I15" i="18" s="1"/>
  <c r="H15" i="28"/>
  <c r="I15" i="28" s="1"/>
  <c r="H15" i="24"/>
  <c r="I15" i="24" s="1"/>
  <c r="I44" i="7"/>
  <c r="H19" i="22"/>
  <c r="I19" i="22" s="1"/>
  <c r="H14" i="68"/>
  <c r="I14" i="68" s="1"/>
  <c r="E30" i="68"/>
  <c r="E44" i="56"/>
  <c r="I44" i="56"/>
  <c r="H17" i="50"/>
  <c r="I17" i="50" s="1"/>
  <c r="E30" i="32"/>
  <c r="H14" i="32"/>
  <c r="I14" i="32" s="1"/>
  <c r="E30" i="38"/>
  <c r="H14" i="38"/>
  <c r="I14" i="38" s="1"/>
  <c r="I44" i="17"/>
  <c r="E44" i="17"/>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P104" i="47"/>
  <c r="P106" i="47"/>
  <c r="P105" i="47"/>
  <c r="H19" i="45"/>
  <c r="I19" i="45" s="1"/>
  <c r="I44" i="42"/>
  <c r="E30" i="40"/>
  <c r="H19" i="37"/>
  <c r="I19" i="37" s="1"/>
  <c r="E44" i="23"/>
  <c r="H15" i="27"/>
  <c r="I15" i="27" s="1"/>
  <c r="P106" i="34"/>
  <c r="P105" i="34"/>
  <c r="P104" i="34"/>
  <c r="H19" i="17"/>
  <c r="I19" i="17" s="1"/>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E44" i="60"/>
  <c r="I28" i="7" l="1"/>
  <c r="I28" i="60" s="1"/>
  <c r="H25" i="60"/>
  <c r="C105" i="56"/>
  <c r="H105" i="56" s="1"/>
  <c r="H20" i="60"/>
  <c r="C105" i="47"/>
  <c r="H105" i="47" s="1"/>
  <c r="H29" i="60"/>
  <c r="C105" i="55"/>
  <c r="H105" i="55" s="1"/>
  <c r="I21" i="60"/>
  <c r="I15" i="60"/>
  <c r="I19" i="60"/>
  <c r="I26" i="7"/>
  <c r="I26" i="60" s="1"/>
  <c r="C106" i="76"/>
  <c r="H106" i="76" s="1"/>
  <c r="C106" i="7"/>
  <c r="H106" i="7" s="1"/>
  <c r="H107" i="60" s="1"/>
  <c r="C105" i="7"/>
  <c r="C104" i="40"/>
  <c r="H104" i="40" s="1"/>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C106" i="68"/>
  <c r="H106" i="68" s="1"/>
  <c r="I30" i="33"/>
  <c r="I46" i="33" s="1"/>
  <c r="C105" i="33"/>
  <c r="H105" i="33" s="1"/>
  <c r="C104" i="69"/>
  <c r="H104" i="69" s="1"/>
  <c r="H133" i="7"/>
  <c r="O8" i="72"/>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I46" i="43" s="1"/>
  <c r="H30" i="43"/>
  <c r="C72" i="43" s="1"/>
  <c r="C104" i="71"/>
  <c r="H104" i="71" s="1"/>
  <c r="C104" i="76"/>
  <c r="H104" i="76" s="1"/>
  <c r="H30" i="56"/>
  <c r="C72" i="56" s="1"/>
  <c r="H22" i="60"/>
  <c r="H19" i="60"/>
  <c r="I17" i="7"/>
  <c r="I17" i="60" s="1"/>
  <c r="H17" i="60"/>
  <c r="I16" i="7"/>
  <c r="I16" i="60" s="1"/>
  <c r="H16" i="60"/>
  <c r="H27" i="60"/>
  <c r="H14" i="60"/>
  <c r="H15" i="60"/>
  <c r="H21" i="60"/>
  <c r="C104" i="43"/>
  <c r="H104" i="43" s="1"/>
  <c r="C104" i="35"/>
  <c r="H104" i="35" s="1"/>
  <c r="C104" i="44"/>
  <c r="H104" i="44" s="1"/>
  <c r="C104" i="56"/>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C104" i="52"/>
  <c r="H104" i="52" s="1"/>
  <c r="I14" i="52"/>
  <c r="I30" i="52" s="1"/>
  <c r="I23" i="16"/>
  <c r="I23" i="60" s="1"/>
  <c r="I25" i="16"/>
  <c r="I25" i="60" s="1"/>
  <c r="I40" i="60"/>
  <c r="C106" i="70"/>
  <c r="H106" i="70" s="1"/>
  <c r="C69" i="34"/>
  <c r="H70" i="34" s="1"/>
  <c r="I30" i="76"/>
  <c r="I30" i="71"/>
  <c r="I42" i="60"/>
  <c r="C106" i="78"/>
  <c r="H106" i="78" s="1"/>
  <c r="C105" i="57"/>
  <c r="H105" i="57" s="1"/>
  <c r="H30" i="76"/>
  <c r="C105" i="76"/>
  <c r="H105" i="76" s="1"/>
  <c r="C106" i="52"/>
  <c r="H106" i="52" s="1"/>
  <c r="H30" i="52"/>
  <c r="O39" i="72"/>
  <c r="C69" i="52"/>
  <c r="H70" i="52" s="1"/>
  <c r="H98" i="52" s="1"/>
  <c r="I98" i="52" s="1"/>
  <c r="O23" i="72"/>
  <c r="H133" i="32"/>
  <c r="U126" i="32" s="1"/>
  <c r="C69" i="32"/>
  <c r="H70" i="32" s="1"/>
  <c r="H98" i="32" s="1"/>
  <c r="I98" i="32" s="1"/>
  <c r="C105" i="68"/>
  <c r="H105" i="68" s="1"/>
  <c r="C106" i="32"/>
  <c r="H106" i="32" s="1"/>
  <c r="C105" i="71"/>
  <c r="H105" i="71" s="1"/>
  <c r="H30" i="71"/>
  <c r="O54" i="72"/>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C105" i="45"/>
  <c r="H105" i="45" s="1"/>
  <c r="C69" i="35"/>
  <c r="H70" i="35" s="1"/>
  <c r="H98" i="35" s="1"/>
  <c r="I98" i="35" s="1"/>
  <c r="O24" i="72"/>
  <c r="H30" i="58"/>
  <c r="I30" i="58"/>
  <c r="C104" i="58"/>
  <c r="C69" i="40"/>
  <c r="H70" i="40" s="1"/>
  <c r="H98" i="40" s="1"/>
  <c r="I98" i="40" s="1"/>
  <c r="O30" i="72"/>
  <c r="I30" i="68"/>
  <c r="C104" i="68"/>
  <c r="H30" i="68"/>
  <c r="I39" i="60"/>
  <c r="I30" i="55"/>
  <c r="C106" i="16"/>
  <c r="H106" i="16" s="1"/>
  <c r="C69" i="33"/>
  <c r="H70" i="33" s="1"/>
  <c r="H98" i="33" s="1"/>
  <c r="I98" i="33" s="1"/>
  <c r="O22" i="72"/>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O42" i="72"/>
  <c r="C105" i="20"/>
  <c r="H105" i="20" s="1"/>
  <c r="C69" i="66"/>
  <c r="H70" i="66" s="1"/>
  <c r="H98" i="66" s="1"/>
  <c r="I98" i="66" s="1"/>
  <c r="O46" i="72"/>
  <c r="E34" i="62"/>
  <c r="E38" i="62" s="1"/>
  <c r="C69" i="7"/>
  <c r="C106" i="50"/>
  <c r="H106" i="50" s="1"/>
  <c r="C105" i="70"/>
  <c r="H105" i="70" s="1"/>
  <c r="C69" i="70"/>
  <c r="H70" i="70" s="1"/>
  <c r="H98" i="70" s="1"/>
  <c r="I98" i="70" s="1"/>
  <c r="O49" i="72"/>
  <c r="C69" i="25"/>
  <c r="H70" i="25" s="1"/>
  <c r="H98" i="25" s="1"/>
  <c r="I98" i="25" s="1"/>
  <c r="O14" i="72"/>
  <c r="H30" i="17"/>
  <c r="C104" i="17"/>
  <c r="C69" i="50"/>
  <c r="H70" i="50" s="1"/>
  <c r="H98" i="50" s="1"/>
  <c r="I98" i="50" s="1"/>
  <c r="O37" i="72"/>
  <c r="C69" i="31"/>
  <c r="H70" i="31" s="1"/>
  <c r="H98" i="31" s="1"/>
  <c r="I98" i="31" s="1"/>
  <c r="O20" i="72"/>
  <c r="C69" i="45"/>
  <c r="H70" i="45" s="1"/>
  <c r="H98" i="45" s="1"/>
  <c r="I98" i="45" s="1"/>
  <c r="O34" i="72"/>
  <c r="H30" i="23"/>
  <c r="C104" i="23"/>
  <c r="C69" i="18"/>
  <c r="H70" i="18" s="1"/>
  <c r="H98" i="18" s="1"/>
  <c r="I98" i="18" s="1"/>
  <c r="O11" i="72"/>
  <c r="I30" i="27"/>
  <c r="C104" i="27"/>
  <c r="H30" i="27"/>
  <c r="I30" i="56"/>
  <c r="O10" i="72"/>
  <c r="C69" i="17"/>
  <c r="H70" i="17" s="1"/>
  <c r="H98" i="17" s="1"/>
  <c r="I98" i="17" s="1"/>
  <c r="C106" i="45"/>
  <c r="H106" i="45" s="1"/>
  <c r="C105" i="25"/>
  <c r="H105" i="25" s="1"/>
  <c r="H30" i="31"/>
  <c r="I30" i="31"/>
  <c r="C104" i="31"/>
  <c r="I30" i="42"/>
  <c r="H30" i="42"/>
  <c r="C104" i="42"/>
  <c r="H30" i="75"/>
  <c r="I30" i="75"/>
  <c r="K30" i="75" s="1"/>
  <c r="C104" i="75"/>
  <c r="C104" i="30"/>
  <c r="H30" i="30"/>
  <c r="C69" i="69"/>
  <c r="H70" i="69" s="1"/>
  <c r="H98" i="69" s="1"/>
  <c r="I98" i="69" s="1"/>
  <c r="O48" i="72"/>
  <c r="H30" i="45"/>
  <c r="I30" i="45"/>
  <c r="C104" i="45"/>
  <c r="C69" i="23"/>
  <c r="H70" i="23" s="1"/>
  <c r="H98" i="23" s="1"/>
  <c r="I98" i="23" s="1"/>
  <c r="O25" i="72"/>
  <c r="H30" i="78"/>
  <c r="I30" i="78"/>
  <c r="C104" i="78"/>
  <c r="C69" i="51"/>
  <c r="H70" i="51" s="1"/>
  <c r="H98" i="51" s="1"/>
  <c r="I98" i="51" s="1"/>
  <c r="O38" i="72"/>
  <c r="C69" i="28"/>
  <c r="H70" i="28" s="1"/>
  <c r="H98" i="28" s="1"/>
  <c r="I98" i="28" s="1"/>
  <c r="O19" i="72"/>
  <c r="C69" i="56"/>
  <c r="H70" i="56" s="1"/>
  <c r="H98" i="56" s="1"/>
  <c r="I98" i="56" s="1"/>
  <c r="O43" i="72"/>
  <c r="C105" i="38"/>
  <c r="H105" i="38" s="1"/>
  <c r="C69" i="42"/>
  <c r="H70" i="42" s="1"/>
  <c r="H98" i="42" s="1"/>
  <c r="I98" i="42" s="1"/>
  <c r="O31" i="72"/>
  <c r="C69" i="75"/>
  <c r="H70" i="75" s="1"/>
  <c r="H98" i="75" s="1"/>
  <c r="I98" i="75" s="1"/>
  <c r="O40" i="72"/>
  <c r="C69" i="30"/>
  <c r="H70" i="30" s="1"/>
  <c r="H98" i="30" s="1"/>
  <c r="I98" i="30" s="1"/>
  <c r="C69" i="24"/>
  <c r="H70" i="24" s="1"/>
  <c r="H98" i="24" s="1"/>
  <c r="I98" i="24" s="1"/>
  <c r="O15" i="72"/>
  <c r="C105" i="32"/>
  <c r="H105" i="32" s="1"/>
  <c r="C69" i="27"/>
  <c r="H70" i="27" s="1"/>
  <c r="H98" i="27" s="1"/>
  <c r="I98" i="27" s="1"/>
  <c r="O18" i="72"/>
  <c r="C69" i="44"/>
  <c r="H70" i="44" s="1"/>
  <c r="H98" i="44" s="1"/>
  <c r="I98" i="44" s="1"/>
  <c r="O33" i="72"/>
  <c r="C105" i="67"/>
  <c r="H105" i="67" s="1"/>
  <c r="C69" i="78"/>
  <c r="H70" i="78" s="1"/>
  <c r="H98" i="78" s="1"/>
  <c r="I98" i="78" s="1"/>
  <c r="O53" i="72"/>
  <c r="C105" i="66"/>
  <c r="H105" i="66" s="1"/>
  <c r="C105" i="31"/>
  <c r="H105" i="31" s="1"/>
  <c r="C106" i="77"/>
  <c r="H106" i="77" s="1"/>
  <c r="H30" i="51"/>
  <c r="I30" i="51"/>
  <c r="C104" i="51"/>
  <c r="C104" i="16"/>
  <c r="H30" i="16"/>
  <c r="I30" i="28"/>
  <c r="C104" i="28"/>
  <c r="H30" i="28"/>
  <c r="E30" i="60"/>
  <c r="C69" i="39"/>
  <c r="H70" i="39" s="1"/>
  <c r="H98" i="39" s="1"/>
  <c r="I98" i="39" s="1"/>
  <c r="O29" i="72"/>
  <c r="I30" i="24"/>
  <c r="C104" i="24"/>
  <c r="H30" i="24"/>
  <c r="C106" i="67"/>
  <c r="H106" i="67" s="1"/>
  <c r="H30" i="26"/>
  <c r="C104" i="26"/>
  <c r="I30" i="44"/>
  <c r="C105" i="44"/>
  <c r="H105" i="44" s="1"/>
  <c r="H30" i="44"/>
  <c r="H30" i="77"/>
  <c r="I30" i="77"/>
  <c r="C104" i="77"/>
  <c r="C69" i="16"/>
  <c r="O9" i="72"/>
  <c r="C69" i="47"/>
  <c r="H70" i="47" s="1"/>
  <c r="H98" i="47" s="1"/>
  <c r="I98" i="47" s="1"/>
  <c r="O35" i="72"/>
  <c r="I30" i="21"/>
  <c r="C106" i="21"/>
  <c r="H106" i="21" s="1"/>
  <c r="C106" i="20"/>
  <c r="H106" i="20" s="1"/>
  <c r="C69" i="37"/>
  <c r="H70" i="37" s="1"/>
  <c r="H98" i="37" s="1"/>
  <c r="I98" i="37" s="1"/>
  <c r="O27" i="72"/>
  <c r="C69" i="26"/>
  <c r="H70" i="26" s="1"/>
  <c r="H98" i="26" s="1"/>
  <c r="I98" i="26" s="1"/>
  <c r="O17" i="72"/>
  <c r="C69" i="43"/>
  <c r="H70" i="43" s="1"/>
  <c r="H98" i="43" s="1"/>
  <c r="I98" i="43" s="1"/>
  <c r="O32" i="72"/>
  <c r="H30" i="38"/>
  <c r="I30" i="38"/>
  <c r="C104" i="38"/>
  <c r="C105" i="21"/>
  <c r="H105" i="21" s="1"/>
  <c r="C105" i="78"/>
  <c r="H105" i="78" s="1"/>
  <c r="C105" i="30"/>
  <c r="H105" i="30" s="1"/>
  <c r="C69" i="77"/>
  <c r="H70" i="77" s="1"/>
  <c r="H98" i="77" s="1"/>
  <c r="I98" i="77" s="1"/>
  <c r="O52" i="72"/>
  <c r="H30" i="40"/>
  <c r="I30" i="47"/>
  <c r="H30" i="47"/>
  <c r="C104" i="47"/>
  <c r="C105" i="37"/>
  <c r="H105" i="37" s="1"/>
  <c r="C69" i="67"/>
  <c r="H70" i="67" s="1"/>
  <c r="H98" i="67" s="1"/>
  <c r="I98" i="67" s="1"/>
  <c r="O47" i="72"/>
  <c r="H30" i="37"/>
  <c r="I30" i="37"/>
  <c r="C104" i="37"/>
  <c r="C69" i="38"/>
  <c r="H70" i="38" s="1"/>
  <c r="H98" i="38" s="1"/>
  <c r="I98" i="38" s="1"/>
  <c r="O28" i="72"/>
  <c r="H30" i="7"/>
  <c r="C106" i="17"/>
  <c r="H106" i="17" s="1"/>
  <c r="C106" i="66"/>
  <c r="H106" i="66" s="1"/>
  <c r="C105" i="40"/>
  <c r="H105" i="40" s="1"/>
  <c r="C104" i="67"/>
  <c r="H30" i="67"/>
  <c r="H30" i="32"/>
  <c r="C104" i="32"/>
  <c r="C105" i="18"/>
  <c r="H105" i="18" s="1"/>
  <c r="I30" i="36"/>
  <c r="C104" i="36"/>
  <c r="H30" i="36"/>
  <c r="C69" i="48"/>
  <c r="H70" i="48" s="1"/>
  <c r="H98" i="48" s="1"/>
  <c r="I98" i="48" s="1"/>
  <c r="O36" i="72"/>
  <c r="C104" i="20"/>
  <c r="H30" i="20"/>
  <c r="C69" i="76"/>
  <c r="H70" i="76" s="1"/>
  <c r="H98" i="76" s="1"/>
  <c r="I98" i="76" s="1"/>
  <c r="O41" i="72"/>
  <c r="C69" i="71"/>
  <c r="H70" i="71" s="1"/>
  <c r="H98" i="71" s="1"/>
  <c r="I98" i="71" s="1"/>
  <c r="O50" i="72"/>
  <c r="C106" i="18"/>
  <c r="H106" i="18" s="1"/>
  <c r="C104" i="57"/>
  <c r="H30" i="57"/>
  <c r="I30" i="57"/>
  <c r="I30" i="69"/>
  <c r="C105" i="69"/>
  <c r="H30" i="69"/>
  <c r="C69" i="22"/>
  <c r="H70" i="22" s="1"/>
  <c r="H98" i="22" s="1"/>
  <c r="I98" i="22" s="1"/>
  <c r="O16" i="72"/>
  <c r="I30" i="39"/>
  <c r="C104" i="39"/>
  <c r="H30" i="39"/>
  <c r="C106" i="58"/>
  <c r="H106" i="58" s="1"/>
  <c r="O21" i="72"/>
  <c r="H30" i="18"/>
  <c r="C104" i="18"/>
  <c r="H30" i="55"/>
  <c r="C106" i="38"/>
  <c r="H106" i="38" s="1"/>
  <c r="C69" i="36"/>
  <c r="H70" i="36" s="1"/>
  <c r="H98" i="36" s="1"/>
  <c r="I98" i="36" s="1"/>
  <c r="O26" i="72"/>
  <c r="I30" i="48"/>
  <c r="C106" i="48"/>
  <c r="H106" i="48" s="1"/>
  <c r="C105" i="26"/>
  <c r="H105" i="26" s="1"/>
  <c r="H30" i="48"/>
  <c r="I124" i="7"/>
  <c r="H30" i="34"/>
  <c r="E45" i="60"/>
  <c r="C69" i="21"/>
  <c r="H70" i="21" s="1"/>
  <c r="H98" i="21" s="1"/>
  <c r="I98" i="21" s="1"/>
  <c r="O13" i="72"/>
  <c r="C69" i="20"/>
  <c r="H70" i="20" s="1"/>
  <c r="H98" i="20" s="1"/>
  <c r="I98" i="20" s="1"/>
  <c r="O12" i="72"/>
  <c r="C69" i="58"/>
  <c r="H70" i="58" s="1"/>
  <c r="H98" i="58" s="1"/>
  <c r="I98" i="58" s="1"/>
  <c r="O45" i="72"/>
  <c r="C69" i="57"/>
  <c r="H70" i="57" s="1"/>
  <c r="H98" i="57" s="1"/>
  <c r="I98" i="57" s="1"/>
  <c r="O44" i="72"/>
  <c r="H30" i="22"/>
  <c r="C104" i="22"/>
  <c r="I30" i="22"/>
  <c r="C69" i="68"/>
  <c r="H70" i="68" s="1"/>
  <c r="H98" i="68" s="1"/>
  <c r="I98" i="68" s="1"/>
  <c r="O51" i="72"/>
  <c r="C106" i="40"/>
  <c r="H106" i="40" s="1"/>
  <c r="C106" i="26"/>
  <c r="H106" i="26" s="1"/>
  <c r="C104" i="55"/>
  <c r="C77" i="60" l="1"/>
  <c r="H78" i="60" s="1"/>
  <c r="H93" i="60" s="1"/>
  <c r="O56" i="72"/>
  <c r="C71" i="60"/>
  <c r="H72" i="60" s="1"/>
  <c r="C80" i="60"/>
  <c r="H81" i="60" s="1"/>
  <c r="H86" i="60" s="1"/>
  <c r="C83" i="60"/>
  <c r="H84" i="60" s="1"/>
  <c r="H91" i="60" s="1"/>
  <c r="C107" i="56"/>
  <c r="I14" i="60"/>
  <c r="H70" i="16"/>
  <c r="H88" i="16" s="1"/>
  <c r="I88" i="16" s="1"/>
  <c r="C105" i="60"/>
  <c r="H88" i="34"/>
  <c r="I88" i="34" s="1"/>
  <c r="H98" i="34"/>
  <c r="I98" i="34" s="1"/>
  <c r="C106" i="60"/>
  <c r="C107" i="60"/>
  <c r="E46" i="43"/>
  <c r="C107" i="33"/>
  <c r="I107" i="33"/>
  <c r="C72" i="33"/>
  <c r="H73" i="33" s="1"/>
  <c r="I107" i="34"/>
  <c r="U126" i="7"/>
  <c r="E8" i="72"/>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E54" i="72"/>
  <c r="V54" i="72" s="1"/>
  <c r="P113" i="52"/>
  <c r="U113" i="52" s="1"/>
  <c r="E39" i="72"/>
  <c r="V39" i="72" s="1"/>
  <c r="H30" i="60"/>
  <c r="E47" i="60" s="1"/>
  <c r="P41" i="34"/>
  <c r="U41" i="34" s="1"/>
  <c r="P21" i="52"/>
  <c r="T21" i="52" s="1"/>
  <c r="U21" i="52" s="1"/>
  <c r="P15" i="34"/>
  <c r="T15" i="34" s="1"/>
  <c r="U15" i="34" s="1"/>
  <c r="P19" i="52"/>
  <c r="T19" i="52" s="1"/>
  <c r="U19" i="52" s="1"/>
  <c r="H79" i="7"/>
  <c r="H85" i="7" s="1"/>
  <c r="I85" i="7" s="1"/>
  <c r="H76" i="7"/>
  <c r="H92" i="7" s="1"/>
  <c r="I92" i="7" s="1"/>
  <c r="H70" i="7"/>
  <c r="H105" i="7"/>
  <c r="H106" i="60" s="1"/>
  <c r="H82" i="7"/>
  <c r="H90" i="7" s="1"/>
  <c r="I90" i="7" s="1"/>
  <c r="I46" i="76"/>
  <c r="I46" i="39"/>
  <c r="P121" i="34"/>
  <c r="U121" i="34" s="1"/>
  <c r="P24" i="34"/>
  <c r="T24" i="34" s="1"/>
  <c r="U24" i="34" s="1"/>
  <c r="I46" i="47"/>
  <c r="C107" i="43"/>
  <c r="I46" i="51"/>
  <c r="P14" i="52"/>
  <c r="P23" i="52"/>
  <c r="T23" i="52" s="1"/>
  <c r="U23" i="52" s="1"/>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E23" i="72"/>
  <c r="V23" i="72" s="1"/>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I51" i="33"/>
  <c r="I52" i="33"/>
  <c r="I52" i="43"/>
  <c r="I51" i="43"/>
  <c r="I30" i="17"/>
  <c r="I85" i="34"/>
  <c r="I92" i="34"/>
  <c r="I90" i="34"/>
  <c r="I90" i="52"/>
  <c r="I107" i="71"/>
  <c r="I30" i="32"/>
  <c r="C107" i="71"/>
  <c r="I107" i="52"/>
  <c r="C107" i="52"/>
  <c r="C107" i="76"/>
  <c r="I92" i="52"/>
  <c r="I85" i="52"/>
  <c r="H88" i="52"/>
  <c r="I88" i="52" s="1"/>
  <c r="I107" i="76"/>
  <c r="I45" i="60"/>
  <c r="C107" i="7"/>
  <c r="I30" i="7"/>
  <c r="C107" i="34"/>
  <c r="I46" i="75"/>
  <c r="I30" i="67"/>
  <c r="C107" i="21"/>
  <c r="I107" i="44"/>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E41" i="72"/>
  <c r="V41" i="72"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E49" i="72"/>
  <c r="V49" i="72"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E24" i="72"/>
  <c r="V24" i="72"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E40" i="72"/>
  <c r="V40" i="72"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E19" i="72"/>
  <c r="V19" i="72"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E37" i="72"/>
  <c r="V37" i="72"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E27" i="72"/>
  <c r="V27" i="72"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E35" i="72"/>
  <c r="V35" i="72"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E29" i="72"/>
  <c r="V29" i="72"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E33" i="72"/>
  <c r="V33" i="72"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E31" i="72"/>
  <c r="V31" i="7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E10" i="72"/>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E34" i="72"/>
  <c r="V34" i="72"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E30" i="72"/>
  <c r="V30" i="72"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E13" i="72"/>
  <c r="V13" i="72"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E51" i="72"/>
  <c r="V51" i="72"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E32" i="72"/>
  <c r="V32" i="72"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E48" i="72"/>
  <c r="V48" i="72"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E42" i="72"/>
  <c r="V42" i="72"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E47" i="72"/>
  <c r="V47" i="72"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E18" i="72"/>
  <c r="V18" i="72"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E38" i="72"/>
  <c r="V38" i="72"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E20" i="72"/>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E46" i="72"/>
  <c r="V46" i="72"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E45" i="72"/>
  <c r="V45" i="72" s="1"/>
  <c r="I30" i="18"/>
  <c r="I46" i="18" s="1"/>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E28" i="72"/>
  <c r="V28" i="72" s="1"/>
  <c r="H88" i="67"/>
  <c r="I88" i="67" s="1"/>
  <c r="I90" i="67"/>
  <c r="I92" i="67"/>
  <c r="I85" i="67"/>
  <c r="H88" i="77"/>
  <c r="I88" i="77" s="1"/>
  <c r="I85" i="77"/>
  <c r="I90" i="77"/>
  <c r="I92" i="77"/>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E9" i="72"/>
  <c r="V9" i="72"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E12" i="72"/>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E16" i="72"/>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E50" i="72"/>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E36" i="72"/>
  <c r="V36" i="72"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E25" i="72"/>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E11" i="72"/>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E14" i="72"/>
  <c r="V14" i="72"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E22" i="72"/>
  <c r="V22" i="72"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E44" i="72"/>
  <c r="V44" i="72"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E52" i="72"/>
  <c r="V52" i="72"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E17" i="72"/>
  <c r="I85" i="16"/>
  <c r="I90" i="16"/>
  <c r="I92" i="16"/>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E53" i="72"/>
  <c r="V53" i="72"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E26" i="72"/>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H105" i="60" s="1"/>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E43" i="72"/>
  <c r="V43" i="72"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E21" i="72"/>
  <c r="V21" i="7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E15" i="72"/>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V8" i="72"/>
  <c r="I91" i="60" l="1"/>
  <c r="I86" i="60"/>
  <c r="I93" i="60"/>
  <c r="H89" i="60"/>
  <c r="H99" i="60"/>
  <c r="C74" i="60"/>
  <c r="H75" i="60" s="1"/>
  <c r="H97" i="60" s="1"/>
  <c r="H98" i="16"/>
  <c r="I98" i="16" s="1"/>
  <c r="H96" i="56"/>
  <c r="I96" i="56" s="1"/>
  <c r="I128" i="56" s="1"/>
  <c r="I107" i="7"/>
  <c r="I108" i="60" s="1"/>
  <c r="H88" i="7"/>
  <c r="I88" i="7" s="1"/>
  <c r="I89" i="60" s="1"/>
  <c r="H98" i="7"/>
  <c r="I98" i="7" s="1"/>
  <c r="I99" i="60" s="1"/>
  <c r="I52" i="38"/>
  <c r="I52" i="22"/>
  <c r="I51" i="69"/>
  <c r="I51" i="37"/>
  <c r="I52" i="76"/>
  <c r="I51" i="36"/>
  <c r="I52" i="48"/>
  <c r="I52" i="58"/>
  <c r="I51" i="40"/>
  <c r="I52" i="25"/>
  <c r="I51" i="56"/>
  <c r="I51" i="52"/>
  <c r="I51" i="42"/>
  <c r="I52" i="21"/>
  <c r="I51" i="45"/>
  <c r="I51" i="27"/>
  <c r="I51" i="24"/>
  <c r="I51" i="51"/>
  <c r="I51" i="25"/>
  <c r="I51" i="55"/>
  <c r="I52" i="50"/>
  <c r="I52" i="45"/>
  <c r="I52" i="77"/>
  <c r="I52" i="47"/>
  <c r="I51" i="71"/>
  <c r="I52" i="78"/>
  <c r="I52" i="28"/>
  <c r="I51" i="57"/>
  <c r="I51" i="34"/>
  <c r="I52" i="35"/>
  <c r="I52" i="39"/>
  <c r="I51" i="39"/>
  <c r="I51" i="50"/>
  <c r="I51" i="76"/>
  <c r="I52" i="40"/>
  <c r="I51" i="38"/>
  <c r="I52" i="55"/>
  <c r="U124" i="34"/>
  <c r="I51" i="28"/>
  <c r="U124" i="52"/>
  <c r="U44" i="34"/>
  <c r="O105" i="52"/>
  <c r="T105" i="52" s="1"/>
  <c r="I52" i="37"/>
  <c r="I51" i="77"/>
  <c r="I52" i="69"/>
  <c r="I52" i="34"/>
  <c r="I51" i="58"/>
  <c r="I51" i="47"/>
  <c r="O105" i="34"/>
  <c r="T105" i="34" s="1"/>
  <c r="C108" i="60"/>
  <c r="I51" i="78"/>
  <c r="I52" i="24"/>
  <c r="I52" i="51"/>
  <c r="I52" i="57"/>
  <c r="O106" i="34"/>
  <c r="T106" i="34" s="1"/>
  <c r="P30" i="34"/>
  <c r="P78" i="34" s="1"/>
  <c r="T79" i="34" s="1"/>
  <c r="T85" i="34" s="1"/>
  <c r="U85" i="34" s="1"/>
  <c r="P30" i="52"/>
  <c r="P69" i="52" s="1"/>
  <c r="T70" i="52" s="1"/>
  <c r="I52" i="36"/>
  <c r="R44" i="34"/>
  <c r="I52" i="52"/>
  <c r="I52" i="56"/>
  <c r="I52" i="27"/>
  <c r="U44" i="52"/>
  <c r="I46" i="17"/>
  <c r="O106" i="52"/>
  <c r="T106" i="52" s="1"/>
  <c r="I46" i="66"/>
  <c r="I52" i="71"/>
  <c r="T14" i="52"/>
  <c r="U14" i="52" s="1"/>
  <c r="U30" i="52" s="1"/>
  <c r="I46" i="67"/>
  <c r="I52" i="42"/>
  <c r="I51" i="21"/>
  <c r="R44" i="52"/>
  <c r="I46" i="7"/>
  <c r="I46" i="32"/>
  <c r="I46" i="26"/>
  <c r="I46" i="20"/>
  <c r="I51" i="35"/>
  <c r="I46" i="23"/>
  <c r="I46" i="70"/>
  <c r="I51" i="48"/>
  <c r="I51" i="22"/>
  <c r="I46" i="16"/>
  <c r="I46" i="30"/>
  <c r="H94" i="33"/>
  <c r="I94" i="33" s="1"/>
  <c r="I128" i="33" s="1"/>
  <c r="H96" i="33"/>
  <c r="I96" i="33" s="1"/>
  <c r="I53" i="43"/>
  <c r="H94" i="43"/>
  <c r="I94" i="43" s="1"/>
  <c r="I128"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1" i="75"/>
  <c r="I52" i="75"/>
  <c r="U124" i="50"/>
  <c r="U124" i="35"/>
  <c r="O57" i="72"/>
  <c r="U124" i="42"/>
  <c r="U124" i="68"/>
  <c r="U124" i="55"/>
  <c r="U124" i="20"/>
  <c r="U124" i="44"/>
  <c r="U124" i="75"/>
  <c r="U124" i="25"/>
  <c r="U124" i="30"/>
  <c r="U124" i="16"/>
  <c r="I30" i="60"/>
  <c r="I32" i="60" s="1"/>
  <c r="I47" i="60" s="1"/>
  <c r="E56" i="72"/>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128" i="32" l="1"/>
  <c r="I53" i="38"/>
  <c r="I53" i="36"/>
  <c r="I53" i="71"/>
  <c r="I53" i="22"/>
  <c r="T88" i="52"/>
  <c r="U88" i="52" s="1"/>
  <c r="T98" i="52"/>
  <c r="U98" i="52" s="1"/>
  <c r="I53" i="76"/>
  <c r="I53" i="77"/>
  <c r="I53" i="52"/>
  <c r="I53" i="45"/>
  <c r="I53" i="78"/>
  <c r="I53" i="48"/>
  <c r="I53" i="44"/>
  <c r="I53" i="68"/>
  <c r="I53" i="50"/>
  <c r="I53" i="24"/>
  <c r="I53" i="58"/>
  <c r="I53" i="27"/>
  <c r="I53" i="47"/>
  <c r="I53" i="69"/>
  <c r="I53" i="42"/>
  <c r="I53" i="25"/>
  <c r="I53" i="51"/>
  <c r="I53" i="37"/>
  <c r="I53" i="39"/>
  <c r="I53" i="35"/>
  <c r="I130" i="43"/>
  <c r="H135" i="43" s="1"/>
  <c r="I135" i="43" s="1"/>
  <c r="I130" i="33"/>
  <c r="H135" i="33" s="1"/>
  <c r="I135" i="33" s="1"/>
  <c r="I53" i="21"/>
  <c r="I53" i="57"/>
  <c r="I53" i="56"/>
  <c r="I130" i="56" s="1"/>
  <c r="H135" i="56" s="1"/>
  <c r="I135" i="56" s="1"/>
  <c r="I52" i="67"/>
  <c r="I52" i="70"/>
  <c r="I52" i="23"/>
  <c r="I51" i="66"/>
  <c r="I51" i="20"/>
  <c r="I53" i="28"/>
  <c r="I52" i="26"/>
  <c r="I51" i="17"/>
  <c r="I52" i="32"/>
  <c r="I53" i="55"/>
  <c r="I52" i="7"/>
  <c r="I53" i="34"/>
  <c r="I51" i="30"/>
  <c r="I53" i="31"/>
  <c r="I52" i="16"/>
  <c r="I51" i="18"/>
  <c r="I53" i="40"/>
  <c r="I51" i="67"/>
  <c r="I51" i="70"/>
  <c r="I52" i="20"/>
  <c r="P81" i="34"/>
  <c r="T82" i="34" s="1"/>
  <c r="T90" i="34" s="1"/>
  <c r="U90" i="34" s="1"/>
  <c r="P75" i="34"/>
  <c r="T76" i="34" s="1"/>
  <c r="T92" i="34" s="1"/>
  <c r="U92" i="34" s="1"/>
  <c r="P69" i="34"/>
  <c r="T70" i="34" s="1"/>
  <c r="T30" i="52"/>
  <c r="P72" i="52" s="1"/>
  <c r="O104" i="52"/>
  <c r="I52" i="30"/>
  <c r="I51" i="7"/>
  <c r="P75" i="52"/>
  <c r="T76" i="52" s="1"/>
  <c r="T92" i="52" s="1"/>
  <c r="U92" i="52" s="1"/>
  <c r="P81" i="52"/>
  <c r="T82" i="52" s="1"/>
  <c r="T90" i="52" s="1"/>
  <c r="U90" i="52" s="1"/>
  <c r="P78" i="52"/>
  <c r="T79" i="52" s="1"/>
  <c r="T85" i="52" s="1"/>
  <c r="U85" i="52" s="1"/>
  <c r="H95" i="60"/>
  <c r="I52" i="66"/>
  <c r="I51" i="26"/>
  <c r="I51" i="32"/>
  <c r="I51" i="16"/>
  <c r="I51" i="23"/>
  <c r="U46" i="52"/>
  <c r="R51" i="52"/>
  <c r="U51" i="52" s="1"/>
  <c r="R52" i="52"/>
  <c r="U52" i="52" s="1"/>
  <c r="U46" i="34"/>
  <c r="R51" i="34"/>
  <c r="U51" i="34" s="1"/>
  <c r="R52" i="34"/>
  <c r="U52" i="34" s="1"/>
  <c r="I52" i="18"/>
  <c r="I52" i="17"/>
  <c r="H94" i="36"/>
  <c r="I94" i="36" s="1"/>
  <c r="H96" i="36"/>
  <c r="I96" i="36" s="1"/>
  <c r="H94" i="68"/>
  <c r="I94" i="68" s="1"/>
  <c r="H96" i="68"/>
  <c r="I96" i="68" s="1"/>
  <c r="H94" i="24"/>
  <c r="I94" i="24" s="1"/>
  <c r="I128" i="24" s="1"/>
  <c r="H96" i="24"/>
  <c r="I96" i="24" s="1"/>
  <c r="H94" i="42"/>
  <c r="I94" i="42" s="1"/>
  <c r="I128" i="42" s="1"/>
  <c r="H96" i="42"/>
  <c r="I96" i="42" s="1"/>
  <c r="H94" i="57"/>
  <c r="I94" i="57" s="1"/>
  <c r="I128" i="57" s="1"/>
  <c r="H96" i="57"/>
  <c r="I96" i="57" s="1"/>
  <c r="H94" i="70"/>
  <c r="I94" i="70" s="1"/>
  <c r="I128" i="70" s="1"/>
  <c r="H96" i="70"/>
  <c r="I96" i="70" s="1"/>
  <c r="H94" i="39"/>
  <c r="I94" i="39" s="1"/>
  <c r="I128" i="39" s="1"/>
  <c r="H96" i="39"/>
  <c r="I96" i="39" s="1"/>
  <c r="H94" i="40"/>
  <c r="I94" i="40" s="1"/>
  <c r="H96" i="40"/>
  <c r="I96" i="40" s="1"/>
  <c r="H94" i="76"/>
  <c r="I94" i="76" s="1"/>
  <c r="I128" i="76" s="1"/>
  <c r="H96" i="76"/>
  <c r="I96" i="76" s="1"/>
  <c r="H94" i="44"/>
  <c r="I94" i="44" s="1"/>
  <c r="H96" i="44"/>
  <c r="I96" i="44" s="1"/>
  <c r="H94" i="38"/>
  <c r="I94" i="38" s="1"/>
  <c r="I128" i="38" s="1"/>
  <c r="H96" i="38"/>
  <c r="I96" i="38" s="1"/>
  <c r="H94" i="50"/>
  <c r="I94" i="50" s="1"/>
  <c r="H96" i="50"/>
  <c r="I96" i="50" s="1"/>
  <c r="H94" i="45"/>
  <c r="I94" i="45" s="1"/>
  <c r="I128" i="45" s="1"/>
  <c r="H96" i="45"/>
  <c r="I96" i="45" s="1"/>
  <c r="H94" i="7"/>
  <c r="I94" i="7" s="1"/>
  <c r="I128" i="7" s="1"/>
  <c r="H96" i="7"/>
  <c r="I96" i="7" s="1"/>
  <c r="H94" i="35"/>
  <c r="I94" i="35" s="1"/>
  <c r="I128" i="35" s="1"/>
  <c r="H96" i="35"/>
  <c r="I96" i="35" s="1"/>
  <c r="H94" i="77"/>
  <c r="I94" i="77" s="1"/>
  <c r="I128" i="77" s="1"/>
  <c r="H96" i="77"/>
  <c r="I96" i="77" s="1"/>
  <c r="H94" i="18"/>
  <c r="I94" i="18" s="1"/>
  <c r="I128" i="18" s="1"/>
  <c r="H96" i="18"/>
  <c r="I96" i="18" s="1"/>
  <c r="H94" i="67"/>
  <c r="I94" i="67" s="1"/>
  <c r="I128" i="67" s="1"/>
  <c r="H96" i="67"/>
  <c r="I96" i="67" s="1"/>
  <c r="H94" i="16"/>
  <c r="I94" i="16" s="1"/>
  <c r="H96" i="16"/>
  <c r="I96" i="16" s="1"/>
  <c r="H94" i="22"/>
  <c r="I94" i="22" s="1"/>
  <c r="H96" i="22"/>
  <c r="I96" i="22" s="1"/>
  <c r="H94" i="26"/>
  <c r="I94" i="26" s="1"/>
  <c r="I128" i="26" s="1"/>
  <c r="H96" i="26"/>
  <c r="I96" i="26" s="1"/>
  <c r="H94" i="17"/>
  <c r="I94" i="17" s="1"/>
  <c r="I128" i="17" s="1"/>
  <c r="H96" i="17"/>
  <c r="I96" i="17" s="1"/>
  <c r="H94" i="34"/>
  <c r="I94" i="34" s="1"/>
  <c r="I128" i="34" s="1"/>
  <c r="H96" i="34"/>
  <c r="I96" i="34" s="1"/>
  <c r="H94" i="71"/>
  <c r="I94" i="71" s="1"/>
  <c r="H96" i="71"/>
  <c r="I96" i="71" s="1"/>
  <c r="H94" i="21"/>
  <c r="I94" i="21" s="1"/>
  <c r="I128" i="21" s="1"/>
  <c r="H96" i="21"/>
  <c r="I96" i="21" s="1"/>
  <c r="H94" i="66"/>
  <c r="I94" i="66" s="1"/>
  <c r="I128" i="66" s="1"/>
  <c r="H96" i="66"/>
  <c r="I96" i="66" s="1"/>
  <c r="H94" i="48"/>
  <c r="I94" i="48" s="1"/>
  <c r="I128" i="48" s="1"/>
  <c r="H96" i="48"/>
  <c r="I96" i="48" s="1"/>
  <c r="H94" i="51"/>
  <c r="I94" i="51" s="1"/>
  <c r="I128" i="51" s="1"/>
  <c r="H96" i="51"/>
  <c r="I96" i="51" s="1"/>
  <c r="H94" i="28"/>
  <c r="I94" i="28" s="1"/>
  <c r="I128" i="28" s="1"/>
  <c r="H96" i="28"/>
  <c r="I96" i="28" s="1"/>
  <c r="H94" i="31"/>
  <c r="I94" i="31" s="1"/>
  <c r="H96" i="31"/>
  <c r="I96" i="31" s="1"/>
  <c r="H94" i="25"/>
  <c r="I94" i="25" s="1"/>
  <c r="I128" i="25" s="1"/>
  <c r="H96" i="25"/>
  <c r="I96" i="25" s="1"/>
  <c r="H94" i="47"/>
  <c r="I94" i="47" s="1"/>
  <c r="H96" i="47"/>
  <c r="I96" i="47" s="1"/>
  <c r="H94" i="23"/>
  <c r="I94" i="23" s="1"/>
  <c r="I128" i="23" s="1"/>
  <c r="H96" i="23"/>
  <c r="I96" i="23" s="1"/>
  <c r="H94" i="78"/>
  <c r="I94" i="78" s="1"/>
  <c r="I128" i="78" s="1"/>
  <c r="H96" i="78"/>
  <c r="I96" i="78" s="1"/>
  <c r="H94" i="30"/>
  <c r="I94" i="30" s="1"/>
  <c r="I128" i="30" s="1"/>
  <c r="H96" i="30"/>
  <c r="I96" i="30" s="1"/>
  <c r="H94" i="52"/>
  <c r="I94" i="52" s="1"/>
  <c r="H96" i="52"/>
  <c r="I96" i="52" s="1"/>
  <c r="H94" i="55"/>
  <c r="I94" i="55" s="1"/>
  <c r="I128" i="55" s="1"/>
  <c r="H96" i="55"/>
  <c r="I96" i="55" s="1"/>
  <c r="H94" i="69"/>
  <c r="I94" i="69" s="1"/>
  <c r="I128" i="69" s="1"/>
  <c r="H96" i="69"/>
  <c r="I96" i="69" s="1"/>
  <c r="H94" i="58"/>
  <c r="I94" i="58" s="1"/>
  <c r="I128" i="58" s="1"/>
  <c r="H96" i="58"/>
  <c r="I96" i="58" s="1"/>
  <c r="H94" i="75"/>
  <c r="I94" i="75" s="1"/>
  <c r="I128" i="75" s="1"/>
  <c r="H96" i="75"/>
  <c r="I96" i="75" s="1"/>
  <c r="H94" i="27"/>
  <c r="I94" i="27" s="1"/>
  <c r="I128" i="27" s="1"/>
  <c r="H96" i="27"/>
  <c r="I96" i="27" s="1"/>
  <c r="H94" i="37"/>
  <c r="I94" i="37" s="1"/>
  <c r="H96" i="37"/>
  <c r="I96" i="37" s="1"/>
  <c r="H94" i="20"/>
  <c r="I94" i="20" s="1"/>
  <c r="I128"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I43" i="72"/>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I128" i="47" l="1"/>
  <c r="I128" i="22"/>
  <c r="I128" i="40"/>
  <c r="I128" i="68"/>
  <c r="I128" i="36"/>
  <c r="I97" i="60"/>
  <c r="I128" i="37"/>
  <c r="I128" i="52"/>
  <c r="I128" i="31"/>
  <c r="I130" i="31" s="1"/>
  <c r="I128" i="50"/>
  <c r="I54" i="60"/>
  <c r="I95" i="60"/>
  <c r="I128" i="71"/>
  <c r="I53" i="18"/>
  <c r="I53" i="60"/>
  <c r="T88" i="76"/>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30" i="58"/>
  <c r="H135" i="58" s="1"/>
  <c r="J43" i="72"/>
  <c r="I130" i="50"/>
  <c r="H135" i="50" s="1"/>
  <c r="I130" i="48"/>
  <c r="H135" i="48" s="1"/>
  <c r="I48" i="72"/>
  <c r="I130" i="47"/>
  <c r="H135" i="47" s="1"/>
  <c r="I135" i="47" s="1"/>
  <c r="I130" i="77"/>
  <c r="H135" i="77" s="1"/>
  <c r="I23" i="72"/>
  <c r="I130" i="27"/>
  <c r="H135" i="27" s="1"/>
  <c r="I130" i="44"/>
  <c r="H135" i="44" s="1"/>
  <c r="I19" i="72"/>
  <c r="I53" i="70"/>
  <c r="I53" i="67"/>
  <c r="I130" i="55"/>
  <c r="H135" i="55" s="1"/>
  <c r="I135" i="55" s="1"/>
  <c r="I53" i="72"/>
  <c r="I53" i="16"/>
  <c r="O107" i="52"/>
  <c r="T104" i="52"/>
  <c r="U107" i="52" s="1"/>
  <c r="I53" i="26"/>
  <c r="I53" i="32"/>
  <c r="I130" i="32" s="1"/>
  <c r="H135" i="32" s="1"/>
  <c r="I135" i="32" s="1"/>
  <c r="I53" i="17"/>
  <c r="I130" i="42"/>
  <c r="H135" i="42" s="1"/>
  <c r="I53" i="23"/>
  <c r="I53" i="20"/>
  <c r="I53" i="30"/>
  <c r="I130" i="37"/>
  <c r="H135" i="37" s="1"/>
  <c r="I130" i="45"/>
  <c r="H135" i="45" s="1"/>
  <c r="I135" i="45" s="1"/>
  <c r="I38" i="72"/>
  <c r="I130" i="22"/>
  <c r="I130" i="35"/>
  <c r="H135" i="35" s="1"/>
  <c r="I130" i="76"/>
  <c r="H135" i="76" s="1"/>
  <c r="I130" i="24"/>
  <c r="I130" i="39"/>
  <c r="H135" i="39" s="1"/>
  <c r="I130" i="36"/>
  <c r="I130" i="75"/>
  <c r="H135" i="75" s="1"/>
  <c r="I130" i="57"/>
  <c r="H135" i="57" s="1"/>
  <c r="I135" i="57" s="1"/>
  <c r="I53" i="66"/>
  <c r="R46" i="28"/>
  <c r="T73" i="28" s="1"/>
  <c r="T94" i="28" s="1"/>
  <c r="U94" i="28" s="1"/>
  <c r="R46" i="52"/>
  <c r="I32" i="72"/>
  <c r="I22" i="72"/>
  <c r="I53" i="7"/>
  <c r="F53" i="60"/>
  <c r="F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21" i="72"/>
  <c r="K32" i="72"/>
  <c r="R32" i="72" s="1"/>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K22" i="72"/>
  <c r="I137" i="33"/>
  <c r="I141" i="33" s="1"/>
  <c r="I145" i="33" s="1"/>
  <c r="O107" i="20"/>
  <c r="U107" i="20"/>
  <c r="O107" i="36"/>
  <c r="U107" i="36"/>
  <c r="I147" i="33"/>
  <c r="O107" i="18"/>
  <c r="O107" i="78"/>
  <c r="U107" i="78"/>
  <c r="Q43" i="72"/>
  <c r="O107" i="30"/>
  <c r="U107" i="30"/>
  <c r="O107" i="51"/>
  <c r="U107" i="51"/>
  <c r="O107" i="75"/>
  <c r="U107" i="75"/>
  <c r="O107" i="40"/>
  <c r="U107" i="40"/>
  <c r="O107" i="70"/>
  <c r="U107" i="70"/>
  <c r="U107" i="44"/>
  <c r="O107" i="44"/>
  <c r="I11" i="72" l="1"/>
  <c r="Q11" i="72" s="1"/>
  <c r="I8" i="72"/>
  <c r="I130" i="71"/>
  <c r="J22" i="72"/>
  <c r="G22" i="72" s="1"/>
  <c r="J38" i="72"/>
  <c r="M32" i="72"/>
  <c r="J32" i="72"/>
  <c r="G32" i="72" s="1"/>
  <c r="L32" i="72"/>
  <c r="S32" i="72" s="1"/>
  <c r="U32" i="72" s="1"/>
  <c r="W32" i="72" s="1"/>
  <c r="I130" i="66"/>
  <c r="H135" i="66" s="1"/>
  <c r="I135" i="66" s="1"/>
  <c r="K46" i="72" s="1"/>
  <c r="R46" i="72" s="1"/>
  <c r="I36" i="72"/>
  <c r="J21" i="72"/>
  <c r="I42" i="72"/>
  <c r="I35" i="72"/>
  <c r="I130" i="28"/>
  <c r="H135" i="28" s="1"/>
  <c r="I41" i="72"/>
  <c r="I31" i="72"/>
  <c r="T96" i="28"/>
  <c r="U96" i="28" s="1"/>
  <c r="U128" i="28" s="1"/>
  <c r="J11" i="72"/>
  <c r="I147" i="45"/>
  <c r="I135" i="75"/>
  <c r="I147" i="75" s="1"/>
  <c r="I135" i="39"/>
  <c r="I147" i="39" s="1"/>
  <c r="I135" i="42"/>
  <c r="I147" i="42" s="1"/>
  <c r="I135" i="44"/>
  <c r="I135" i="77"/>
  <c r="I137" i="77" s="1"/>
  <c r="I135" i="76"/>
  <c r="I147" i="76" s="1"/>
  <c r="I135" i="58"/>
  <c r="K45" i="72" s="1"/>
  <c r="R45" i="72" s="1"/>
  <c r="I135" i="35"/>
  <c r="I147" i="35" s="1"/>
  <c r="I135" i="48"/>
  <c r="I137" i="48" s="1"/>
  <c r="I141" i="48" s="1"/>
  <c r="I145" i="48" s="1"/>
  <c r="I130" i="51"/>
  <c r="H135" i="51" s="1"/>
  <c r="I135" i="27"/>
  <c r="I147" i="27" s="1"/>
  <c r="I135" i="50"/>
  <c r="I147" i="50" s="1"/>
  <c r="I135" i="37"/>
  <c r="I147" i="37" s="1"/>
  <c r="I29" i="72"/>
  <c r="I24" i="72"/>
  <c r="Q32" i="72"/>
  <c r="I45" i="72"/>
  <c r="I130" i="78"/>
  <c r="H135" i="78" s="1"/>
  <c r="I55" i="60"/>
  <c r="I15" i="72"/>
  <c r="I52" i="72"/>
  <c r="I46" i="72"/>
  <c r="I27" i="72"/>
  <c r="I16" i="72"/>
  <c r="I130" i="34"/>
  <c r="H135" i="34" s="1"/>
  <c r="I135" i="34" s="1"/>
  <c r="I130" i="18"/>
  <c r="I18" i="72"/>
  <c r="I40" i="72"/>
  <c r="I28" i="72"/>
  <c r="I130" i="38"/>
  <c r="H135" i="38" s="1"/>
  <c r="Q22" i="72"/>
  <c r="I50" i="72"/>
  <c r="I34" i="72"/>
  <c r="U53" i="76"/>
  <c r="J19" i="72"/>
  <c r="U53" i="17"/>
  <c r="U53" i="66"/>
  <c r="Q48" i="72"/>
  <c r="J48" i="72"/>
  <c r="Q53" i="72"/>
  <c r="J53" i="72"/>
  <c r="U53" i="43"/>
  <c r="Q23" i="72"/>
  <c r="J23" i="72"/>
  <c r="I37" i="72"/>
  <c r="I44" i="72"/>
  <c r="I26" i="72"/>
  <c r="I130" i="69"/>
  <c r="H135" i="69" s="1"/>
  <c r="Q38" i="72"/>
  <c r="Q19" i="72"/>
  <c r="U53" i="58"/>
  <c r="I130" i="7"/>
  <c r="I39" i="72"/>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I12" i="72"/>
  <c r="U53" i="55"/>
  <c r="I130" i="70"/>
  <c r="H135" i="70" s="1"/>
  <c r="I49" i="72"/>
  <c r="U53" i="39"/>
  <c r="I130" i="67"/>
  <c r="H135" i="67" s="1"/>
  <c r="I47" i="72"/>
  <c r="U53" i="70"/>
  <c r="U53" i="71"/>
  <c r="U53" i="18"/>
  <c r="U53" i="24"/>
  <c r="U53" i="50"/>
  <c r="U53" i="68"/>
  <c r="U53" i="48"/>
  <c r="I130" i="17"/>
  <c r="I10" i="72"/>
  <c r="U53" i="57"/>
  <c r="U53" i="16"/>
  <c r="U53" i="77"/>
  <c r="U53" i="47"/>
  <c r="U53" i="35"/>
  <c r="I130" i="68"/>
  <c r="H135" i="68" s="1"/>
  <c r="I51" i="72"/>
  <c r="I130" i="23"/>
  <c r="I25" i="72"/>
  <c r="I130" i="30"/>
  <c r="H135" i="30" s="1"/>
  <c r="I54" i="72"/>
  <c r="U53" i="26"/>
  <c r="U53" i="21"/>
  <c r="U53" i="25"/>
  <c r="I130" i="40"/>
  <c r="H135" i="40" s="1"/>
  <c r="I135" i="40" s="1"/>
  <c r="I30" i="72"/>
  <c r="U53" i="32"/>
  <c r="I130" i="21"/>
  <c r="H135" i="21" s="1"/>
  <c r="I13" i="72"/>
  <c r="I130" i="26"/>
  <c r="I17" i="72"/>
  <c r="U53" i="78"/>
  <c r="I130" i="25"/>
  <c r="H135" i="25" s="1"/>
  <c r="I135" i="25" s="1"/>
  <c r="I14" i="72"/>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Q21" i="72"/>
  <c r="K44" i="72"/>
  <c r="I137" i="57"/>
  <c r="I141" i="57" s="1"/>
  <c r="I145" i="57" s="1"/>
  <c r="I147" i="57"/>
  <c r="E253" i="64"/>
  <c r="G253" i="64" s="1"/>
  <c r="F32" i="72"/>
  <c r="U19" i="72"/>
  <c r="E162" i="64"/>
  <c r="G162" i="64" s="1"/>
  <c r="M22" i="72"/>
  <c r="R22" i="72"/>
  <c r="F22" i="72"/>
  <c r="L22" i="72"/>
  <c r="S22" i="72" s="1"/>
  <c r="W22" i="72" s="1"/>
  <c r="K35" i="72"/>
  <c r="I137" i="47"/>
  <c r="I141" i="47" s="1"/>
  <c r="I145" i="47" s="1"/>
  <c r="I147" i="47"/>
  <c r="K42" i="72"/>
  <c r="I137" i="55"/>
  <c r="I141" i="55" s="1"/>
  <c r="I145" i="55" s="1"/>
  <c r="K43" i="72"/>
  <c r="G43" i="72" s="1"/>
  <c r="I137" i="56"/>
  <c r="I141" i="56" s="1"/>
  <c r="I145" i="56" s="1"/>
  <c r="I147" i="56"/>
  <c r="I147" i="55"/>
  <c r="K21" i="72"/>
  <c r="I137" i="32"/>
  <c r="I141" i="32" s="1"/>
  <c r="I145" i="32" s="1"/>
  <c r="I147" i="32"/>
  <c r="I135" i="21" l="1"/>
  <c r="I147" i="21"/>
  <c r="I141" i="77"/>
  <c r="I145" i="77" s="1"/>
  <c r="M52" i="72" s="1"/>
  <c r="Q8" i="72"/>
  <c r="J27" i="72"/>
  <c r="Q46" i="72"/>
  <c r="J10" i="72"/>
  <c r="J52" i="72"/>
  <c r="J31" i="72"/>
  <c r="J49" i="72"/>
  <c r="J17" i="72"/>
  <c r="J25" i="72"/>
  <c r="J12" i="72"/>
  <c r="J50" i="72"/>
  <c r="J15" i="72"/>
  <c r="J41" i="72"/>
  <c r="J39" i="72"/>
  <c r="J13" i="72"/>
  <c r="J35" i="72"/>
  <c r="G35" i="72" s="1"/>
  <c r="J28" i="72"/>
  <c r="J45" i="72"/>
  <c r="G45" i="72" s="1"/>
  <c r="G33" i="72"/>
  <c r="J26" i="72"/>
  <c r="J40" i="72"/>
  <c r="J42" i="72"/>
  <c r="G42" i="72" s="1"/>
  <c r="J16" i="72"/>
  <c r="J14" i="72"/>
  <c r="J30" i="72"/>
  <c r="J18" i="72"/>
  <c r="J24" i="72"/>
  <c r="J47" i="72"/>
  <c r="J29" i="72"/>
  <c r="J36" i="72"/>
  <c r="J8" i="72"/>
  <c r="I135" i="67"/>
  <c r="I147" i="67" s="1"/>
  <c r="I147" i="66"/>
  <c r="M36" i="72"/>
  <c r="I135" i="28"/>
  <c r="I147" i="28" s="1"/>
  <c r="Q33" i="72"/>
  <c r="J54" i="72"/>
  <c r="Q42" i="72"/>
  <c r="Q41" i="72"/>
  <c r="I137" i="76"/>
  <c r="I141" i="76" s="1"/>
  <c r="I145" i="76" s="1"/>
  <c r="I137" i="75"/>
  <c r="I141" i="75" s="1"/>
  <c r="I145" i="75" s="1"/>
  <c r="K37" i="72"/>
  <c r="R37" i="72" s="1"/>
  <c r="Q36" i="72"/>
  <c r="G21" i="72"/>
  <c r="Q35" i="72"/>
  <c r="K18" i="72"/>
  <c r="F18" i="72" s="1"/>
  <c r="I137" i="27"/>
  <c r="I141" i="27" s="1"/>
  <c r="I145" i="27" s="1"/>
  <c r="K31" i="72"/>
  <c r="Q31" i="72"/>
  <c r="I137" i="42"/>
  <c r="I141" i="42" s="1"/>
  <c r="I145" i="42" s="1"/>
  <c r="I137" i="39"/>
  <c r="I141" i="39" s="1"/>
  <c r="I145" i="39" s="1"/>
  <c r="K29" i="72"/>
  <c r="I137" i="37"/>
  <c r="I141" i="37" s="1"/>
  <c r="I145" i="37" s="1"/>
  <c r="I137" i="50"/>
  <c r="I141" i="50" s="1"/>
  <c r="I145" i="50" s="1"/>
  <c r="K40" i="72"/>
  <c r="R40" i="72" s="1"/>
  <c r="Q29" i="72"/>
  <c r="Q45" i="72"/>
  <c r="K41" i="72"/>
  <c r="I147" i="77"/>
  <c r="K52" i="72"/>
  <c r="U130" i="28"/>
  <c r="I133" i="28" s="1"/>
  <c r="I147" i="44"/>
  <c r="K34" i="72"/>
  <c r="R34" i="72" s="1"/>
  <c r="I137" i="45"/>
  <c r="I141" i="45" s="1"/>
  <c r="I145" i="45" s="1"/>
  <c r="I137" i="35"/>
  <c r="I141" i="35" s="1"/>
  <c r="I145" i="35" s="1"/>
  <c r="I137" i="58"/>
  <c r="I141" i="58" s="1"/>
  <c r="I145" i="58" s="1"/>
  <c r="K24" i="72"/>
  <c r="K27" i="72"/>
  <c r="R27" i="72" s="1"/>
  <c r="I147" i="48"/>
  <c r="R33" i="72"/>
  <c r="F33" i="72"/>
  <c r="S33" i="72"/>
  <c r="U33" i="72" s="1"/>
  <c r="W33" i="72" s="1"/>
  <c r="E433" i="64"/>
  <c r="G433" i="64" s="1"/>
  <c r="I135" i="69"/>
  <c r="K48" i="72" s="1"/>
  <c r="I135" i="30"/>
  <c r="I137" i="30" s="1"/>
  <c r="I141" i="30" s="1"/>
  <c r="I145" i="30" s="1"/>
  <c r="I135" i="38"/>
  <c r="K28" i="72" s="1"/>
  <c r="I135" i="70"/>
  <c r="I147" i="70" s="1"/>
  <c r="I147" i="58"/>
  <c r="I135" i="68"/>
  <c r="Q24" i="72"/>
  <c r="I137" i="66"/>
  <c r="I141" i="66" s="1"/>
  <c r="I145" i="66" s="1"/>
  <c r="K36" i="72"/>
  <c r="I135" i="78"/>
  <c r="I147" i="78" s="1"/>
  <c r="I135" i="51"/>
  <c r="L46" i="72"/>
  <c r="S46" i="72" s="1"/>
  <c r="W46" i="72" s="1"/>
  <c r="F46" i="72"/>
  <c r="J46" i="72"/>
  <c r="G46" i="72" s="1"/>
  <c r="U128" i="34"/>
  <c r="U130" i="34" s="1"/>
  <c r="I133" i="34" s="1"/>
  <c r="U128" i="52"/>
  <c r="U130" i="52" s="1"/>
  <c r="I133" i="52" s="1"/>
  <c r="Q27" i="72"/>
  <c r="Q15" i="72"/>
  <c r="Q50" i="72"/>
  <c r="Q52" i="72"/>
  <c r="E288" i="64"/>
  <c r="G288" i="64" s="1"/>
  <c r="Q16" i="72"/>
  <c r="Q18" i="72"/>
  <c r="Q28" i="72"/>
  <c r="I147" i="34"/>
  <c r="Q40" i="72"/>
  <c r="J37" i="72"/>
  <c r="Q37" i="72"/>
  <c r="Q44" i="72"/>
  <c r="J44" i="72"/>
  <c r="G44" i="72" s="1"/>
  <c r="J34" i="72"/>
  <c r="Q34" i="72"/>
  <c r="Q26" i="72"/>
  <c r="I147" i="52"/>
  <c r="K39" i="72"/>
  <c r="Q39" i="72"/>
  <c r="L45" i="72"/>
  <c r="S45" i="72" s="1"/>
  <c r="U45" i="72" s="1"/>
  <c r="W45" i="72" s="1"/>
  <c r="F45" i="72"/>
  <c r="I137" i="52"/>
  <c r="I141" i="52" s="1"/>
  <c r="T96" i="30"/>
  <c r="T96" i="58"/>
  <c r="T96" i="66"/>
  <c r="U96" i="66" s="1"/>
  <c r="Q49" i="72"/>
  <c r="Q17" i="72"/>
  <c r="Q12" i="72"/>
  <c r="Q54" i="72"/>
  <c r="T96" i="22"/>
  <c r="U96" i="22" s="1"/>
  <c r="Q13" i="72"/>
  <c r="Q25" i="72"/>
  <c r="Q10" i="72"/>
  <c r="Q47" i="72"/>
  <c r="Q30" i="72"/>
  <c r="Q14" i="72"/>
  <c r="I147" i="40"/>
  <c r="K30" i="72"/>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R44" i="72"/>
  <c r="F44" i="72"/>
  <c r="L44" i="72"/>
  <c r="S44" i="72" s="1"/>
  <c r="W44" i="72" s="1"/>
  <c r="M44" i="72"/>
  <c r="E362" i="64"/>
  <c r="G362" i="64" s="1"/>
  <c r="U13" i="72"/>
  <c r="R35" i="72"/>
  <c r="F35" i="72"/>
  <c r="L35" i="72"/>
  <c r="S35" i="72" s="1"/>
  <c r="W35" i="72" s="1"/>
  <c r="F21" i="72"/>
  <c r="R21" i="72"/>
  <c r="L21" i="72"/>
  <c r="S21" i="72" s="1"/>
  <c r="W21" i="72" s="1"/>
  <c r="E344" i="64"/>
  <c r="G344" i="64" s="1"/>
  <c r="M42" i="72"/>
  <c r="F42" i="72"/>
  <c r="R42" i="72"/>
  <c r="L42" i="72"/>
  <c r="S42" i="72" s="1"/>
  <c r="U42" i="72" s="1"/>
  <c r="W42" i="72" s="1"/>
  <c r="F43" i="72"/>
  <c r="R43" i="72"/>
  <c r="L43" i="72"/>
  <c r="S43" i="72" s="1"/>
  <c r="W43" i="72" s="1"/>
  <c r="E279" i="64"/>
  <c r="G279" i="64" s="1"/>
  <c r="M35" i="72"/>
  <c r="E152" i="64"/>
  <c r="G152" i="64" s="1"/>
  <c r="M21" i="72"/>
  <c r="M43" i="72"/>
  <c r="E355" i="64"/>
  <c r="G355" i="64" s="1"/>
  <c r="G36" i="72" l="1"/>
  <c r="G41" i="72"/>
  <c r="I147" i="68"/>
  <c r="I137" i="68"/>
  <c r="I141" i="68" s="1"/>
  <c r="I145" i="68" s="1"/>
  <c r="G52" i="72"/>
  <c r="G29" i="72"/>
  <c r="G31" i="72"/>
  <c r="G24" i="72"/>
  <c r="K47" i="72"/>
  <c r="G47" i="72" s="1"/>
  <c r="I137" i="67"/>
  <c r="I141" i="67" s="1"/>
  <c r="I145" i="67" s="1"/>
  <c r="U128" i="18"/>
  <c r="E263" i="64"/>
  <c r="G263" i="64" s="1"/>
  <c r="E125" i="64"/>
  <c r="G125" i="64" s="1"/>
  <c r="I137" i="28"/>
  <c r="I141" i="28" s="1"/>
  <c r="I145" i="28" s="1"/>
  <c r="E134" i="64" s="1"/>
  <c r="K19" i="72"/>
  <c r="E371" i="64"/>
  <c r="G371" i="64" s="1"/>
  <c r="E179" i="64"/>
  <c r="G179" i="64" s="1"/>
  <c r="E271" i="64"/>
  <c r="G271" i="64" s="1"/>
  <c r="E298" i="64"/>
  <c r="G298" i="64" s="1"/>
  <c r="E243" i="64"/>
  <c r="G243" i="64" s="1"/>
  <c r="E205" i="64"/>
  <c r="G205" i="64" s="1"/>
  <c r="E324" i="64"/>
  <c r="G324" i="64" s="1"/>
  <c r="E334" i="64"/>
  <c r="G334" i="64" s="1"/>
  <c r="E224" i="64"/>
  <c r="G224" i="64" s="1"/>
  <c r="I145" i="52"/>
  <c r="F40" i="72"/>
  <c r="G37" i="72"/>
  <c r="L37" i="72"/>
  <c r="S37" i="72" s="1"/>
  <c r="U37" i="72" s="1"/>
  <c r="W37" i="72" s="1"/>
  <c r="F37" i="72"/>
  <c r="M41" i="72"/>
  <c r="L18" i="72"/>
  <c r="S18" i="72" s="1"/>
  <c r="U18" i="72" s="1"/>
  <c r="W18" i="72" s="1"/>
  <c r="G18" i="72"/>
  <c r="M40" i="72"/>
  <c r="L31" i="72"/>
  <c r="S31" i="72" s="1"/>
  <c r="W31" i="72" s="1"/>
  <c r="R31" i="72"/>
  <c r="F31" i="72"/>
  <c r="F29" i="72"/>
  <c r="L29" i="72"/>
  <c r="S29" i="72" s="1"/>
  <c r="U29" i="72" s="1"/>
  <c r="W29" i="72" s="1"/>
  <c r="R29" i="72"/>
  <c r="R18" i="72"/>
  <c r="M31" i="72"/>
  <c r="G40" i="72"/>
  <c r="M18" i="72"/>
  <c r="M29" i="72"/>
  <c r="L40" i="72"/>
  <c r="S40" i="72" s="1"/>
  <c r="W40" i="72" s="1"/>
  <c r="L41" i="72"/>
  <c r="S41" i="72" s="1"/>
  <c r="W41" i="72" s="1"/>
  <c r="F24" i="72"/>
  <c r="L24" i="72"/>
  <c r="S24" i="72" s="1"/>
  <c r="W24" i="72" s="1"/>
  <c r="M27" i="72"/>
  <c r="M33" i="72"/>
  <c r="M37" i="72"/>
  <c r="R24" i="72"/>
  <c r="F27" i="72"/>
  <c r="R52" i="72"/>
  <c r="R41" i="72"/>
  <c r="F41" i="72"/>
  <c r="G34" i="72"/>
  <c r="F34" i="72"/>
  <c r="L34" i="72"/>
  <c r="S34" i="72" s="1"/>
  <c r="W34" i="72" s="1"/>
  <c r="L52" i="72"/>
  <c r="S52" i="72" s="1"/>
  <c r="W52" i="72" s="1"/>
  <c r="L27" i="72"/>
  <c r="S27" i="72" s="1"/>
  <c r="U27" i="72" s="1"/>
  <c r="W27" i="72" s="1"/>
  <c r="F52" i="72"/>
  <c r="F36" i="72"/>
  <c r="K54" i="72"/>
  <c r="M45" i="72"/>
  <c r="M24" i="72"/>
  <c r="M34" i="72"/>
  <c r="U96" i="30"/>
  <c r="U128" i="30" s="1"/>
  <c r="U130" i="30" s="1"/>
  <c r="I133" i="30" s="1"/>
  <c r="U94" i="77"/>
  <c r="U128" i="77" s="1"/>
  <c r="U130" i="77" s="1"/>
  <c r="I133" i="77" s="1"/>
  <c r="U94" i="31"/>
  <c r="U128" i="31" s="1"/>
  <c r="U130" i="31" s="1"/>
  <c r="I133" i="31" s="1"/>
  <c r="H135" i="31" s="1"/>
  <c r="U96" i="27"/>
  <c r="U128" i="27" s="1"/>
  <c r="U130" i="27" s="1"/>
  <c r="I133" i="27" s="1"/>
  <c r="R36" i="72"/>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47" i="30"/>
  <c r="I137" i="70"/>
  <c r="I141" i="70" s="1"/>
  <c r="I145" i="70" s="1"/>
  <c r="E406" i="64" s="1"/>
  <c r="K51" i="72"/>
  <c r="L36" i="72"/>
  <c r="S36" i="72" s="1"/>
  <c r="W36" i="72" s="1"/>
  <c r="R48" i="72"/>
  <c r="L48" i="72"/>
  <c r="S48" i="72" s="1"/>
  <c r="W48" i="72" s="1"/>
  <c r="G27" i="72"/>
  <c r="R28" i="72"/>
  <c r="L28" i="72"/>
  <c r="S28" i="72" s="1"/>
  <c r="W28" i="72" s="1"/>
  <c r="G28" i="72"/>
  <c r="F28" i="72"/>
  <c r="E452" i="64"/>
  <c r="G452" i="64" s="1"/>
  <c r="M54" i="72"/>
  <c r="K38" i="72"/>
  <c r="I137" i="51"/>
  <c r="I141" i="51" s="1"/>
  <c r="I145" i="51" s="1"/>
  <c r="I147" i="51"/>
  <c r="K49" i="72"/>
  <c r="K53" i="72"/>
  <c r="F48" i="72"/>
  <c r="I137" i="78"/>
  <c r="I141" i="78" s="1"/>
  <c r="I145" i="78" s="1"/>
  <c r="E380" i="64"/>
  <c r="G380" i="64" s="1"/>
  <c r="M46" i="72"/>
  <c r="G48" i="72"/>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K23" i="72"/>
  <c r="G39" i="72"/>
  <c r="R39" i="72"/>
  <c r="F39" i="72"/>
  <c r="L39" i="72"/>
  <c r="S39" i="72" s="1"/>
  <c r="W39" i="72" s="1"/>
  <c r="E234" i="64"/>
  <c r="G234" i="64" s="1"/>
  <c r="M30" i="72"/>
  <c r="G30" i="72"/>
  <c r="R30" i="72"/>
  <c r="L30" i="72"/>
  <c r="S30" i="72" s="1"/>
  <c r="W30" i="72" s="1"/>
  <c r="F30" i="72"/>
  <c r="K13" i="72"/>
  <c r="I137" i="21"/>
  <c r="I141" i="21" s="1"/>
  <c r="I145" i="21" s="1"/>
  <c r="K14" i="72"/>
  <c r="I137" i="25"/>
  <c r="I141" i="25" s="1"/>
  <c r="I145" i="25" s="1"/>
  <c r="E90" i="64" s="1"/>
  <c r="G51" i="72" l="1"/>
  <c r="F47" i="72"/>
  <c r="L47" i="72"/>
  <c r="S47" i="72" s="1"/>
  <c r="W47" i="72" s="1"/>
  <c r="R47" i="72"/>
  <c r="M39" i="72"/>
  <c r="E315" i="64"/>
  <c r="G315" i="64" s="1"/>
  <c r="M19" i="72"/>
  <c r="E387" i="64"/>
  <c r="G387" i="64" s="1"/>
  <c r="M47" i="72"/>
  <c r="G425" i="64"/>
  <c r="E213" i="64"/>
  <c r="G213" i="64" s="1"/>
  <c r="E396" i="64"/>
  <c r="G396" i="64" s="1"/>
  <c r="R19" i="72"/>
  <c r="F19" i="72"/>
  <c r="G19" i="72"/>
  <c r="L19" i="72"/>
  <c r="S19" i="72" s="1"/>
  <c r="W19" i="72" s="1"/>
  <c r="E443" i="64"/>
  <c r="G443" i="64" s="1"/>
  <c r="G134" i="64"/>
  <c r="M49" i="72"/>
  <c r="F54" i="72"/>
  <c r="L54" i="72"/>
  <c r="S54" i="72" s="1"/>
  <c r="W54" i="72" s="1"/>
  <c r="R54" i="72"/>
  <c r="G54" i="72"/>
  <c r="M48" i="72"/>
  <c r="W51" i="72"/>
  <c r="M51" i="72"/>
  <c r="M28" i="72"/>
  <c r="G406" i="64"/>
  <c r="F51" i="72"/>
  <c r="M53" i="72"/>
  <c r="I135" i="24"/>
  <c r="K15" i="72" s="1"/>
  <c r="L49" i="72"/>
  <c r="S49" i="72" s="1"/>
  <c r="W49" i="72" s="1"/>
  <c r="R49" i="72"/>
  <c r="F49" i="72"/>
  <c r="G49" i="72"/>
  <c r="E306" i="64"/>
  <c r="G306" i="64" s="1"/>
  <c r="M38" i="72"/>
  <c r="G38" i="72"/>
  <c r="R38" i="72"/>
  <c r="F38" i="72"/>
  <c r="L38" i="72"/>
  <c r="S38" i="72" s="1"/>
  <c r="U38" i="72" s="1"/>
  <c r="W38" i="72" s="1"/>
  <c r="I135" i="31"/>
  <c r="I141" i="31" s="1"/>
  <c r="I135" i="26"/>
  <c r="I137" i="26" s="1"/>
  <c r="I141" i="26" s="1"/>
  <c r="I145" i="26" s="1"/>
  <c r="I135" i="71"/>
  <c r="R53" i="72"/>
  <c r="F53" i="72"/>
  <c r="G53" i="72"/>
  <c r="L53" i="72"/>
  <c r="S53" i="72" s="1"/>
  <c r="W53" i="72"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R23" i="72"/>
  <c r="F23" i="72"/>
  <c r="L23" i="72"/>
  <c r="S23" i="72" s="1"/>
  <c r="G23" i="72"/>
  <c r="E171" i="64"/>
  <c r="G171" i="64" s="1"/>
  <c r="M23" i="72"/>
  <c r="G90" i="64"/>
  <c r="M14" i="72"/>
  <c r="F14" i="72"/>
  <c r="R14" i="72"/>
  <c r="L14" i="72"/>
  <c r="S14" i="72" s="1"/>
  <c r="U14" i="72" s="1"/>
  <c r="W14" i="72" s="1"/>
  <c r="G14" i="72"/>
  <c r="M13" i="72"/>
  <c r="E80" i="64"/>
  <c r="G80" i="64" s="1"/>
  <c r="F13" i="72"/>
  <c r="G13" i="72"/>
  <c r="R13" i="72"/>
  <c r="L13" i="72"/>
  <c r="S13" i="72" s="1"/>
  <c r="W13" i="72" s="1"/>
  <c r="U23" i="72" l="1"/>
  <c r="W23" i="72" s="1"/>
  <c r="I147" i="71"/>
  <c r="I137" i="71"/>
  <c r="I141" i="71" s="1"/>
  <c r="I145" i="71" s="1"/>
  <c r="G143" i="64"/>
  <c r="I147" i="31"/>
  <c r="I137" i="24"/>
  <c r="I141" i="24" s="1"/>
  <c r="I145" i="24" s="1"/>
  <c r="I147" i="24"/>
  <c r="I147" i="26"/>
  <c r="K17" i="72"/>
  <c r="L17" i="72" s="1"/>
  <c r="S17" i="72" s="1"/>
  <c r="V17" i="72" s="1"/>
  <c r="W17" i="72" s="1"/>
  <c r="M17" i="72"/>
  <c r="E118" i="64"/>
  <c r="G118" i="64" s="1"/>
  <c r="G15" i="72"/>
  <c r="F15" i="72"/>
  <c r="L15" i="72"/>
  <c r="S15" i="72" s="1"/>
  <c r="V15" i="72" s="1"/>
  <c r="W15" i="72" s="1"/>
  <c r="R15" i="72"/>
  <c r="I135" i="17"/>
  <c r="K20" i="72"/>
  <c r="K50" i="72"/>
  <c r="I135" i="36"/>
  <c r="I147" i="23"/>
  <c r="K16" i="72"/>
  <c r="G16" i="72" s="1"/>
  <c r="I137" i="22"/>
  <c r="I141" i="22" s="1"/>
  <c r="I145" i="22" s="1"/>
  <c r="I147" i="20"/>
  <c r="H135" i="18"/>
  <c r="I135" i="18" s="1"/>
  <c r="I137" i="18" s="1"/>
  <c r="I141" i="18" s="1"/>
  <c r="I145" i="18" s="1"/>
  <c r="I147" i="22"/>
  <c r="M20" i="72"/>
  <c r="K10" i="72" l="1"/>
  <c r="G10" i="72" s="1"/>
  <c r="I137" i="17"/>
  <c r="I141" i="17" s="1"/>
  <c r="I145" i="17" s="1"/>
  <c r="E110" i="64"/>
  <c r="G110" i="64" s="1"/>
  <c r="E416" i="64"/>
  <c r="G416" i="64" s="1"/>
  <c r="E101" i="64"/>
  <c r="M15" i="72"/>
  <c r="G17" i="72"/>
  <c r="F17" i="72"/>
  <c r="R17" i="72"/>
  <c r="L16" i="72"/>
  <c r="S16" i="72" s="1"/>
  <c r="V16" i="72" s="1"/>
  <c r="W16" i="72" s="1"/>
  <c r="M50" i="72"/>
  <c r="M16" i="72"/>
  <c r="G20" i="72"/>
  <c r="L20" i="72"/>
  <c r="F20" i="72"/>
  <c r="R50" i="72"/>
  <c r="G50" i="72"/>
  <c r="L50" i="72"/>
  <c r="S50" i="72" s="1"/>
  <c r="V50" i="72" s="1"/>
  <c r="W50" i="72" s="1"/>
  <c r="F50" i="72"/>
  <c r="K26" i="72"/>
  <c r="I137" i="36"/>
  <c r="I141" i="36" s="1"/>
  <c r="I145" i="36" s="1"/>
  <c r="I147" i="36"/>
  <c r="I147" i="17"/>
  <c r="I147" i="18"/>
  <c r="K12" i="72"/>
  <c r="I137" i="20"/>
  <c r="I141" i="20" s="1"/>
  <c r="I145" i="20" s="1"/>
  <c r="R16" i="72"/>
  <c r="F16" i="72"/>
  <c r="K25" i="72"/>
  <c r="I137" i="23"/>
  <c r="I141" i="23" s="1"/>
  <c r="I145" i="23" s="1"/>
  <c r="V26" i="72"/>
  <c r="H135" i="7"/>
  <c r="G101" i="64" l="1"/>
  <c r="E72" i="64"/>
  <c r="G72" i="64" s="1"/>
  <c r="V20" i="72"/>
  <c r="W20" i="72" s="1"/>
  <c r="I135" i="7"/>
  <c r="R10" i="72"/>
  <c r="F10" i="72"/>
  <c r="L10" i="72"/>
  <c r="S10" i="72" s="1"/>
  <c r="V10" i="72" s="1"/>
  <c r="W10" i="72" s="1"/>
  <c r="M10" i="72"/>
  <c r="E194" i="64"/>
  <c r="G194" i="64" s="1"/>
  <c r="M26" i="72"/>
  <c r="F26" i="72"/>
  <c r="L26" i="72"/>
  <c r="S26" i="72" s="1"/>
  <c r="W26" i="72" s="1"/>
  <c r="G26" i="72"/>
  <c r="R26" i="72"/>
  <c r="G25" i="72"/>
  <c r="F25" i="72"/>
  <c r="R25" i="72"/>
  <c r="L25" i="72"/>
  <c r="S25" i="72" s="1"/>
  <c r="V25" i="72" s="1"/>
  <c r="W25" i="72" s="1"/>
  <c r="G12" i="72"/>
  <c r="R12" i="72"/>
  <c r="F12" i="72"/>
  <c r="L12" i="72"/>
  <c r="E186" i="64"/>
  <c r="G186" i="64" s="1"/>
  <c r="M25" i="72"/>
  <c r="M12" i="72"/>
  <c r="K11" i="72"/>
  <c r="E60" i="64"/>
  <c r="G60" i="64" s="1"/>
  <c r="S12" i="72" l="1"/>
  <c r="V12" i="72" s="1"/>
  <c r="W12" i="72" s="1"/>
  <c r="J58" i="79"/>
  <c r="J59" i="79" s="1"/>
  <c r="I147" i="7"/>
  <c r="K8" i="72"/>
  <c r="I137" i="7"/>
  <c r="E53" i="64"/>
  <c r="G53" i="64" s="1"/>
  <c r="M11" i="72"/>
  <c r="G11" i="72"/>
  <c r="R11" i="72"/>
  <c r="L11" i="72"/>
  <c r="S11" i="72" s="1"/>
  <c r="V11" i="72" s="1"/>
  <c r="W11" i="72" s="1"/>
  <c r="F11" i="72"/>
  <c r="I141" i="7" l="1"/>
  <c r="I145" i="7" s="1"/>
  <c r="F8" i="72"/>
  <c r="L8" i="72"/>
  <c r="R8" i="72"/>
  <c r="G8" i="72"/>
  <c r="S8" i="72" l="1"/>
  <c r="V56" i="72"/>
  <c r="U8" i="72" l="1"/>
  <c r="W8" i="72" s="1"/>
  <c r="I121" i="16"/>
  <c r="I122" i="16"/>
  <c r="I123" i="16"/>
  <c r="I124" i="16" l="1"/>
  <c r="I128" i="16" s="1"/>
  <c r="I129" i="60" s="1"/>
  <c r="I58" i="72" l="1"/>
  <c r="I9" i="72"/>
  <c r="I56" i="72" s="1"/>
  <c r="I130" i="16"/>
  <c r="H135" i="16" s="1"/>
  <c r="I135" i="16" s="1"/>
  <c r="I136" i="60" s="1"/>
  <c r="I131" i="60" l="1"/>
  <c r="H136" i="60" s="1"/>
  <c r="I134" i="60"/>
  <c r="J9" i="72"/>
  <c r="J56" i="72" s="1"/>
  <c r="Q9" i="72"/>
  <c r="Q56" i="72" s="1"/>
  <c r="I60" i="72" l="1"/>
  <c r="J58" i="72"/>
  <c r="J60" i="72" s="1"/>
  <c r="I147" i="16"/>
  <c r="K58" i="72"/>
  <c r="K9" i="72"/>
  <c r="K56" i="72" s="1"/>
  <c r="I137" i="16"/>
  <c r="I138" i="60" s="1"/>
  <c r="J61" i="79" l="1"/>
  <c r="L58" i="72"/>
  <c r="L63" i="72" s="1"/>
  <c r="J57" i="79" s="1"/>
  <c r="I141" i="16"/>
  <c r="I142" i="60" s="1"/>
  <c r="G56" i="72"/>
  <c r="G9" i="72"/>
  <c r="R9" i="72"/>
  <c r="F9" i="72"/>
  <c r="L9" i="72"/>
  <c r="L56" i="72" s="1"/>
  <c r="I145" i="16" l="1"/>
  <c r="S9" i="72"/>
  <c r="U9" i="72" s="1"/>
  <c r="L60" i="72"/>
  <c r="F56" i="72"/>
  <c r="R56" i="72"/>
  <c r="K60" i="72"/>
  <c r="S56" i="72" l="1"/>
  <c r="M9" i="72"/>
  <c r="E37" i="64"/>
  <c r="W9" i="72"/>
  <c r="W56" i="72" s="1"/>
  <c r="U56" i="72"/>
  <c r="G37" i="64" l="1"/>
  <c r="M58" i="72" l="1"/>
  <c r="E12" i="64"/>
  <c r="G12" i="64" s="1"/>
  <c r="M8" i="72"/>
  <c r="M56" i="72" s="1"/>
  <c r="G462" i="64" l="1"/>
  <c r="E462" i="64"/>
  <c r="E469" i="64"/>
  <c r="G469" i="64" s="1"/>
  <c r="M60" i="72"/>
  <c r="G463" i="64" l="1"/>
  <c r="E493" i="64"/>
  <c r="D406" i="64" l="1"/>
  <c r="D416" i="64"/>
  <c r="D110" i="64"/>
  <c r="D396" i="64"/>
  <c r="D271" i="64"/>
  <c r="D263" i="64"/>
  <c r="D425" i="64"/>
  <c r="D315" i="64"/>
  <c r="D205" i="64"/>
  <c r="D101" i="64"/>
  <c r="D362" i="64"/>
  <c r="D213" i="64"/>
  <c r="D306" i="64"/>
  <c r="D194" i="64"/>
  <c r="D344" i="64"/>
  <c r="D234" i="64"/>
  <c r="D288" i="64"/>
  <c r="D179" i="64"/>
  <c r="D90" i="64"/>
  <c r="D298" i="64"/>
  <c r="D186" i="64"/>
  <c r="D224" i="64"/>
  <c r="D152" i="64"/>
  <c r="D433" i="64"/>
  <c r="D143" i="64"/>
  <c r="D171" i="64"/>
  <c r="D134" i="64"/>
  <c r="D53" i="64"/>
  <c r="D452" i="64"/>
  <c r="D253" i="64"/>
  <c r="D380" i="64"/>
  <c r="D355" i="64"/>
  <c r="D125" i="64"/>
  <c r="D443" i="64"/>
  <c r="D334" i="64"/>
  <c r="D387" i="64"/>
  <c r="D162" i="64"/>
  <c r="D80" i="64"/>
  <c r="D118" i="64"/>
  <c r="D371" i="64"/>
  <c r="D72" i="64"/>
  <c r="D324" i="64"/>
  <c r="D243" i="64"/>
  <c r="D60" i="64"/>
  <c r="D37" i="64"/>
  <c r="F485" i="64" s="1"/>
  <c r="G485" i="64" s="1"/>
  <c r="F490" i="64" l="1"/>
  <c r="G490" i="64" s="1"/>
  <c r="F488" i="64"/>
  <c r="G488" i="64" s="1"/>
  <c r="F479" i="64"/>
  <c r="G479" i="64" s="1"/>
  <c r="F482" i="64"/>
  <c r="G482" i="64" s="1"/>
  <c r="F476" i="64"/>
  <c r="G476" i="64" s="1"/>
  <c r="F480" i="64"/>
  <c r="G480" i="64" s="1"/>
  <c r="F474" i="64"/>
  <c r="G474" i="64" s="1"/>
  <c r="F481" i="64"/>
  <c r="G481" i="64" s="1"/>
  <c r="F472" i="64"/>
  <c r="G472" i="64" s="1"/>
  <c r="F475" i="64"/>
  <c r="G475" i="64" s="1"/>
  <c r="F473" i="64"/>
  <c r="G473" i="64" s="1"/>
  <c r="F483" i="64"/>
  <c r="G483" i="64" s="1"/>
  <c r="F487" i="64"/>
  <c r="G487" i="64" s="1"/>
  <c r="F489" i="64"/>
  <c r="G489" i="64" s="1"/>
  <c r="F484" i="64"/>
  <c r="G484" i="64" s="1"/>
  <c r="F471" i="64"/>
  <c r="G471" i="64" s="1"/>
  <c r="F491" i="64"/>
  <c r="G491" i="64" s="1"/>
  <c r="F477" i="64"/>
  <c r="G477" i="64" s="1"/>
  <c r="F478" i="64"/>
  <c r="G478" i="64" s="1"/>
  <c r="F486" i="64"/>
  <c r="G486" i="64" s="1"/>
  <c r="F493" i="64" l="1"/>
  <c r="G470" i="64"/>
  <c r="G493" i="64" s="1"/>
  <c r="G495" i="64" l="1"/>
</calcChain>
</file>

<file path=xl/sharedStrings.xml><?xml version="1.0" encoding="utf-8"?>
<sst xmlns="http://schemas.openxmlformats.org/spreadsheetml/2006/main" count="18867" uniqueCount="627">
  <si>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</si>
  <si>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</si>
  <si>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</si>
  <si>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</si>
  <si>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</si>
  <si>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</si>
  <si>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</si>
  <si>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</si>
  <si>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</si>
  <si>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</si>
  <si>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</si>
  <si>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</si>
  <si>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</si>
  <si>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</si>
  <si>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</si>
  <si>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</si>
  <si>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</si>
  <si>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</si>
  <si>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</si>
  <si>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</si>
  <si>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</si>
  <si>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</si>
  <si>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</si>
  <si>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</si>
  <si>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</si>
  <si>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</si>
  <si>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</si>
  <si>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</si>
  <si>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</si>
  <si>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</si>
  <si>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</si>
  <si>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</si>
  <si>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</si>
  <si>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</si>
  <si>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</si>
  <si>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</si>
  <si>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</si>
  <si>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</si>
  <si>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</si>
  <si>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</si>
  <si>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</si>
  <si>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</si>
  <si>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</si>
  <si>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</si>
  <si>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</si>
  <si>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</si>
  <si>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</si>
  <si>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</si>
  <si>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</si>
  <si>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</si>
  <si>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</si>
  <si>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</si>
  <si>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</si>
  <si>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</si>
  <si>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</si>
  <si>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</si>
  <si>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</si>
  <si>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</si>
  <si>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</si>
  <si>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</si>
  <si>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</si>
  <si>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</si>
  <si>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</si>
  <si>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</si>
  <si>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</si>
  <si>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</si>
  <si>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</si>
  <si>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</si>
  <si>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</si>
  <si>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</si>
  <si>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</si>
  <si>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</si>
  <si>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</si>
  <si>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</si>
  <si>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</si>
  <si>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</si>
  <si>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</si>
  <si>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</si>
  <si>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</si>
  <si>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</si>
  <si>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</si>
  <si>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</si>
  <si>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</si>
  <si>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</si>
  <si>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</si>
  <si>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</si>
  <si>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</si>
  <si>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</si>
  <si>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</si>
  <si>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</si>
  <si>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</si>
  <si>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</si>
  <si>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</si>
  <si>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</si>
  <si>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</si>
  <si>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</si>
  <si>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</si>
  <si>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</si>
  <si>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</si>
  <si>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</si>
  <si>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</si>
  <si>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</si>
  <si>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</si>
  <si>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</si>
  <si>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</si>
  <si>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</si>
  <si>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</si>
  <si>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</si>
  <si>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</si>
  <si>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</si>
  <si>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</si>
  <si>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</si>
  <si>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</si>
  <si>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</si>
  <si>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</si>
  <si>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</si>
  <si>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</si>
  <si>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</si>
  <si>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</si>
  <si>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</si>
  <si>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</si>
  <si>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</si>
  <si>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</si>
  <si>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</si>
  <si>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</si>
  <si>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</si>
  <si>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</si>
  <si>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</si>
  <si>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</si>
  <si>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</si>
  <si>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</si>
  <si>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</si>
  <si>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</si>
  <si>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</si>
  <si>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</si>
  <si>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</si>
  <si>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</si>
  <si>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</si>
  <si>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</si>
  <si>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</si>
  <si>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</si>
  <si>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</si>
  <si>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</si>
  <si>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</si>
  <si>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</si>
  <si>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</si>
  <si>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</si>
  <si>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</si>
  <si>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</si>
  <si>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</si>
  <si>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</si>
  <si>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</si>
  <si>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</si>
  <si>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</si>
  <si>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</si>
  <si>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</si>
  <si>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</si>
  <si>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</si>
  <si>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</si>
  <si>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</si>
  <si>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</si>
  <si>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</si>
  <si>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</si>
  <si>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</si>
  <si>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</si>
  <si>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</si>
  <si>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</si>
  <si>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</si>
  <si>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</si>
  <si>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</si>
  <si>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</si>
  <si>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</si>
  <si>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</si>
  <si>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</si>
  <si>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</si>
  <si>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</si>
  <si>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</si>
  <si>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</si>
  <si>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</si>
  <si>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</si>
  <si>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</si>
  <si>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</si>
  <si>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</si>
  <si>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</si>
  <si>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</si>
  <si>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</si>
  <si>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</si>
  <si>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</si>
  <si>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</si>
  <si>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</si>
  <si>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</si>
  <si>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</si>
  <si>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</si>
  <si>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</si>
  <si>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</si>
  <si>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</si>
  <si>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</si>
  <si>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</si>
  <si>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</si>
  <si>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</si>
  <si>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</si>
  <si>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</si>
  <si>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</si>
  <si>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</si>
  <si>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</si>
  <si>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</si>
  <si>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</si>
  <si>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</si>
  <si>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</si>
  <si>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</si>
  <si>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</si>
  <si>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</si>
  <si>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</si>
  <si>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</si>
  <si>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</si>
  <si>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</si>
  <si>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</si>
  <si>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</si>
  <si>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</si>
  <si>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</si>
  <si>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</si>
  <si>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</si>
  <si>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</si>
  <si>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</si>
  <si>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</si>
  <si>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</si>
  <si>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</si>
  <si>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</si>
  <si>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</si>
  <si>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</si>
  <si>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</si>
  <si>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</si>
  <si>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</si>
  <si>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</si>
  <si>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</si>
  <si>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</si>
  <si>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</si>
  <si>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</si>
  <si>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</si>
  <si>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</si>
  <si>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</si>
  <si>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</si>
  <si>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</si>
  <si>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</si>
  <si>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</si>
  <si>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</si>
  <si>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</si>
  <si>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</si>
  <si>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</si>
  <si>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</si>
  <si>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</si>
  <si>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</si>
  <si>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</si>
  <si>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</si>
  <si>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</si>
  <si>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</si>
  <si>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</si>
  <si>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</si>
  <si>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</si>
  <si>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</si>
  <si>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</si>
  <si>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</si>
  <si>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</si>
  <si>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</si>
  <si>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</si>
  <si>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</si>
  <si>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</si>
  <si>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</si>
  <si>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</si>
  <si>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</si>
  <si>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</si>
  <si>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</si>
  <si>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</si>
  <si>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</si>
  <si>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</si>
  <si>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</si>
  <si>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</si>
  <si>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</si>
  <si>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</si>
  <si>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</si>
  <si>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</si>
  <si>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</si>
  <si>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</si>
  <si>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</si>
  <si>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</si>
  <si>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</si>
  <si>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</si>
  <si>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</si>
  <si>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</si>
  <si>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Admin</t>
  </si>
  <si>
    <t>Annual</t>
  </si>
  <si>
    <t>Fee %</t>
  </si>
  <si>
    <t>Revenue</t>
  </si>
  <si>
    <t>Admin Fee</t>
  </si>
  <si>
    <t>Net Revenue</t>
  </si>
  <si>
    <t>The Learning Center @ The Els Center of Excl</t>
  </si>
  <si>
    <t>Somerset Academy Charter School</t>
  </si>
  <si>
    <t>Sports Leadership Academy (SLAM)</t>
  </si>
  <si>
    <t>Connections Education Center of the PBs</t>
  </si>
  <si>
    <t>BridgePrep Academy of Palm Beach</t>
  </si>
  <si>
    <t>Consolidated tab totals</t>
  </si>
  <si>
    <t>Difference</t>
  </si>
  <si>
    <t>MS Course Recovery</t>
  </si>
  <si>
    <t>ESE</t>
  </si>
  <si>
    <t>H/P</t>
  </si>
  <si>
    <t>Sec 1 FTE</t>
  </si>
  <si>
    <t>Rev</t>
  </si>
  <si>
    <t>Fee</t>
  </si>
  <si>
    <t>Net Rev</t>
  </si>
  <si>
    <t>75% ESE</t>
  </si>
  <si>
    <t>Net Rev Per Sec 1 FTE</t>
  </si>
  <si>
    <t>Other</t>
  </si>
  <si>
    <t>Current</t>
  </si>
  <si>
    <t>Mth's Pmt</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</si>
  <si>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</si>
  <si>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</si>
  <si>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</si>
  <si>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</si>
  <si>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</si>
  <si>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</si>
  <si>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</si>
  <si>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</si>
  <si>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</si>
  <si>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</si>
  <si>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</si>
  <si>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Sec 1 Rev/Fee per FTE</t>
  </si>
  <si>
    <t>4103</t>
  </si>
  <si>
    <t>Sports Leadership Arts Management (SLAM) Acdemy MHS (Boca)</t>
  </si>
  <si>
    <t xml:space="preserve"> </t>
  </si>
  <si>
    <t>FY 2016</t>
  </si>
  <si>
    <t>Survey 2</t>
  </si>
  <si>
    <t>Survey 3</t>
  </si>
  <si>
    <t>Final</t>
  </si>
  <si>
    <t>FY 2017</t>
  </si>
  <si>
    <t>FY 2018</t>
  </si>
  <si>
    <t>FY 2019</t>
  </si>
  <si>
    <t>1st month used</t>
  </si>
  <si>
    <t>Release date</t>
  </si>
  <si>
    <t>Preliminary</t>
  </si>
  <si>
    <t>Final Calculation</t>
  </si>
  <si>
    <t>Received</t>
  </si>
  <si>
    <t>Oct 2018</t>
  </si>
  <si>
    <t>Please go to the bottom of the page.</t>
  </si>
  <si>
    <t>Sorted by School Number</t>
  </si>
  <si>
    <t>---</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</si>
  <si>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</si>
  <si>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</si>
  <si>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</si>
  <si>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</si>
  <si>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</si>
  <si>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</si>
  <si>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</si>
  <si>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</si>
  <si>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</si>
  <si>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</si>
  <si>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</si>
  <si>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</si>
  <si>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FY 2020</t>
  </si>
  <si>
    <t>FL AG - FY18</t>
  </si>
  <si>
    <t>WPB-</t>
  </si>
  <si>
    <t>FLDOE Report</t>
  </si>
  <si>
    <t>ESE Guar</t>
  </si>
  <si>
    <t>Transp</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</si>
  <si>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</si>
  <si>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</si>
  <si>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</si>
  <si>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</si>
  <si>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</si>
  <si>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Release/Requested date</t>
  </si>
  <si>
    <t>SR-0067373</t>
  </si>
  <si>
    <t>SR-0067374</t>
  </si>
  <si>
    <t>SR-0085635</t>
  </si>
  <si>
    <t>SR0085639</t>
  </si>
  <si>
    <t>SR-0089096</t>
  </si>
  <si>
    <t>SR-0089100</t>
  </si>
  <si>
    <t>(k)</t>
  </si>
  <si>
    <t>Somerset Academy Wellington</t>
  </si>
  <si>
    <t>Revenue Estimate Worksheet: Somerset Academy Wellington - 4031</t>
  </si>
  <si>
    <t>PY Safe Schl Alloc</t>
  </si>
  <si>
    <t>FY 2021</t>
  </si>
  <si>
    <t>WPB-229862</t>
  </si>
  <si>
    <t>Service Request #</t>
  </si>
  <si>
    <t>SWA Fees</t>
  </si>
  <si>
    <t>SR-0125054</t>
  </si>
  <si>
    <t>SR-0125055</t>
  </si>
  <si>
    <t>SR-0125077</t>
  </si>
  <si>
    <t>SR-0125081</t>
  </si>
  <si>
    <t>FL AG - FY20</t>
  </si>
  <si>
    <t>FY21 TSIA</t>
  </si>
  <si>
    <t>WPB-241201</t>
  </si>
  <si>
    <t>FY 2022</t>
  </si>
  <si>
    <t>WPB-242343</t>
  </si>
  <si>
    <t>SR-0156328</t>
  </si>
  <si>
    <t>01/07/2022, 09:18:46</t>
  </si>
  <si>
    <t>01/07/2022, 08:49:15</t>
  </si>
  <si>
    <t>FY21 CSTAG Training</t>
  </si>
  <si>
    <t>TSIA deducted 07/21</t>
  </si>
  <si>
    <t>Unused FY21 TSIA Funds</t>
  </si>
  <si>
    <t>Unused FY21 TSIA add'l adj</t>
  </si>
  <si>
    <t>WPB-245095</t>
  </si>
  <si>
    <t>SR-0171396</t>
  </si>
  <si>
    <t>SR-0171397</t>
  </si>
  <si>
    <t>05/03/2022, 12:14:36</t>
  </si>
  <si>
    <t>05/03/2022, 12:16:24</t>
  </si>
  <si>
    <t>WPB-248085</t>
  </si>
  <si>
    <t>WPB-248086</t>
  </si>
  <si>
    <t>WPB-248087</t>
  </si>
  <si>
    <t>Ends June 2022</t>
  </si>
  <si>
    <t>WPB-249234</t>
  </si>
  <si>
    <t>TSIA deducted 02/22</t>
  </si>
  <si>
    <t>Revenue Estimate Worksheet: Somerset Academy Wellington HS - 4131</t>
  </si>
  <si>
    <t>4131</t>
  </si>
  <si>
    <t>Somerset Academy Wellington HS</t>
  </si>
  <si>
    <t>WPB-255421</t>
  </si>
  <si>
    <t>Palm Beach Maritime Academy Secondary</t>
  </si>
  <si>
    <t>Palm Beach Maritime Academy Elementary</t>
  </si>
  <si>
    <t>FY 2023</t>
  </si>
  <si>
    <t>12/20/22,  09:31:04</t>
  </si>
  <si>
    <t>12/20/22,  09:37:14</t>
  </si>
  <si>
    <t>SR-0199712</t>
  </si>
  <si>
    <t>SR-0199714</t>
  </si>
  <si>
    <t>Rev - TSIA</t>
  </si>
  <si>
    <t>W/O TSIA</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</si>
  <si>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</si>
  <si>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</si>
  <si>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</si>
  <si>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</si>
  <si>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</si>
  <si>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</si>
  <si>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04/06/23,  07:27:58</t>
  </si>
  <si>
    <t>04/06/23,  07:25:38</t>
  </si>
  <si>
    <t>SR-0210986</t>
  </si>
  <si>
    <t>SR-0210987</t>
  </si>
  <si>
    <t>WPB-264049</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</si>
  <si>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</si>
  <si>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</si>
  <si>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</si>
  <si>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</si>
  <si>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</si>
  <si>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</si>
  <si>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</si>
  <si>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</si>
  <si>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</si>
  <si>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</si>
  <si>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</si>
  <si>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</si>
  <si>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</si>
  <si>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</si>
  <si>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</si>
  <si>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</si>
  <si>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</si>
  <si>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</si>
  <si>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</si>
  <si>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</si>
  <si>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</si>
  <si>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</si>
  <si>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</si>
  <si>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</si>
  <si>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</si>
  <si>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</si>
  <si>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</si>
  <si>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(g) (k)</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</si>
  <si>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</si>
  <si>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</si>
  <si>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</si>
  <si>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</si>
  <si>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</si>
  <si>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</si>
  <si>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</si>
  <si>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</si>
  <si>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</si>
  <si>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</si>
  <si>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</si>
  <si>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</si>
  <si>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</si>
  <si>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</si>
  <si>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</si>
  <si>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</si>
  <si>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</si>
  <si>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</si>
  <si>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</si>
  <si>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</si>
  <si>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</si>
  <si>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</si>
  <si>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</si>
  <si>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</si>
  <si>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</si>
  <si>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</si>
  <si>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</si>
  <si>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</si>
  <si>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</si>
  <si>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</si>
  <si>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</si>
  <si>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</si>
  <si>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</si>
  <si>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</si>
  <si>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</si>
  <si>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</si>
  <si>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</si>
  <si>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</si>
  <si>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</si>
  <si>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</si>
  <si>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</si>
  <si>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</si>
  <si>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</si>
  <si>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</si>
  <si>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</si>
  <si>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</si>
  <si>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</si>
  <si>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</si>
  <si>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</si>
  <si>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</si>
  <si>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</si>
  <si>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</si>
  <si>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</si>
  <si>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</si>
  <si>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</si>
  <si>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</si>
  <si>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</si>
  <si>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</si>
  <si>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</si>
  <si>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</si>
  <si>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</si>
  <si>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</si>
  <si>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</si>
  <si>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</si>
  <si>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</si>
  <si>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</si>
  <si>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</si>
  <si>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</si>
  <si>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</si>
  <si>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</si>
  <si>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</si>
  <si>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FY 2024</t>
  </si>
  <si>
    <t>WPB-271562</t>
  </si>
  <si>
    <t>Sep Teacher Supplies Retract</t>
  </si>
  <si>
    <t>WPB- 274470</t>
  </si>
  <si>
    <t>July</t>
  </si>
  <si>
    <t>August</t>
  </si>
  <si>
    <t>Sept</t>
  </si>
  <si>
    <t>Oct</t>
  </si>
  <si>
    <t>Nov</t>
  </si>
  <si>
    <t>Dec</t>
  </si>
  <si>
    <t>Jan</t>
  </si>
  <si>
    <t>Feb</t>
  </si>
  <si>
    <t>March</t>
  </si>
  <si>
    <t>April</t>
  </si>
  <si>
    <t>May</t>
  </si>
  <si>
    <t>June</t>
  </si>
  <si>
    <t>rounding diff</t>
  </si>
  <si>
    <t>Payments excluding current month</t>
  </si>
  <si>
    <t>Net Revenue - Previous Pmts</t>
  </si>
  <si>
    <t>Calculated Current Payment</t>
  </si>
  <si>
    <t>Actual Current Payment</t>
  </si>
  <si>
    <t>Cumulative Payments</t>
  </si>
  <si>
    <t>SR-0243113</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</si>
  <si>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</si>
  <si>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</si>
  <si>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</si>
  <si>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</si>
  <si>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</si>
  <si>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</si>
  <si>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</si>
  <si>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</si>
  <si>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</si>
  <si>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Monday, 03/11/24</t>
  </si>
  <si>
    <t>Tue, 04/02/24</t>
  </si>
  <si>
    <t>Apr 2024</t>
  </si>
  <si>
    <t>SR-0243112</t>
  </si>
  <si>
    <t>SR-0251464</t>
  </si>
  <si>
    <t>SR-0251467</t>
  </si>
  <si>
    <t>WPB-XXX</t>
  </si>
  <si>
    <t>*Use this for each tab in worksheet, current month is excluded for  calc.</t>
  </si>
  <si>
    <t>June 2024</t>
  </si>
  <si>
    <t>2024-25</t>
  </si>
  <si>
    <t>FY 2025</t>
  </si>
  <si>
    <t>Maintenance Portion (5.59% of Base Funding)</t>
  </si>
  <si>
    <t>Maintenance Portion (5.59% of Conference Funding)</t>
  </si>
  <si>
    <t>FEFP Adj</t>
  </si>
  <si>
    <t>Growth Portion (1.07% of Base Funding)</t>
  </si>
  <si>
    <t>Growth Portion (1.07% of Conference Funding)</t>
  </si>
  <si>
    <t>Oct 2024</t>
  </si>
  <si>
    <t>Feb 2025</t>
  </si>
  <si>
    <t>Revenue Estimate Worksheet: The Learning Center Highschool</t>
  </si>
  <si>
    <t>0040</t>
  </si>
  <si>
    <t>0100</t>
  </si>
  <si>
    <t>Revenue Estimate Worksheet: Palm Beach Preparatory Middle School 0040</t>
  </si>
  <si>
    <t>Palm Beach Preparatory Middle School</t>
  </si>
  <si>
    <t>The Learning Center Highschool</t>
  </si>
  <si>
    <t>PALM BEACH PREPARATORY ACADEMY MS</t>
  </si>
  <si>
    <t>THE LEARNING CENTER HS</t>
  </si>
  <si>
    <t>The Learning Center High School</t>
  </si>
  <si>
    <t>Amounts are split out here for informative purposes and for the purposes of providing a total that may be used for calculating the administrative fee.</t>
  </si>
  <si>
    <t>Revenue Estimate Worksheet: Bodwell Academy - 2531</t>
  </si>
  <si>
    <t>WPB</t>
  </si>
  <si>
    <t>Bodwell Academy</t>
  </si>
  <si>
    <t>Ties to Cummulative Payment Tabs Column D</t>
  </si>
  <si>
    <t xml:space="preserve">PY Final FEFP </t>
  </si>
  <si>
    <t>December</t>
  </si>
  <si>
    <t>SR-0284903</t>
  </si>
  <si>
    <t>Friday, 01/04/25</t>
  </si>
  <si>
    <t>SR-0283904</t>
  </si>
  <si>
    <t>WPB-292889</t>
  </si>
  <si>
    <t>WPB-292383</t>
  </si>
  <si>
    <t>WPB-292475</t>
  </si>
  <si>
    <t>f</t>
  </si>
  <si>
    <t xml:space="preserve"> Feb 2025</t>
  </si>
  <si>
    <t>Based on the FLDOE 2024-25 Third Calculation</t>
  </si>
  <si>
    <t>WPB-295674</t>
  </si>
  <si>
    <t>WPB- 297231</t>
  </si>
  <si>
    <t>February</t>
  </si>
  <si>
    <t>WPB-297918</t>
  </si>
  <si>
    <t>WPB-298449</t>
  </si>
  <si>
    <t>payment calculation.</t>
  </si>
  <si>
    <t>payment calculations. This report has been uploaded to the District's Charter School Fiscal Oversight web page.</t>
  </si>
  <si>
    <t xml:space="preserve"> calculation, FY 25.</t>
  </si>
  <si>
    <t>June 2025</t>
  </si>
  <si>
    <r>
      <t xml:space="preserve">June </t>
    </r>
    <r>
      <rPr>
        <b/>
        <sz val="10"/>
        <color indexed="12"/>
        <rFont val="Calibri"/>
        <family val="2"/>
      </rPr>
      <t xml:space="preserve">2025 - </t>
    </r>
    <r>
      <rPr>
        <b/>
        <sz val="10"/>
        <rFont val="Calibri"/>
        <family val="2"/>
      </rPr>
      <t xml:space="preserve">FY </t>
    </r>
    <r>
      <rPr>
        <b/>
        <sz val="10"/>
        <color indexed="12"/>
        <rFont val="Calibri"/>
        <family val="2"/>
      </rPr>
      <t xml:space="preserve">2025 </t>
    </r>
    <r>
      <rPr>
        <b/>
        <sz val="10"/>
        <rFont val="Calibri"/>
        <family val="2"/>
      </rPr>
      <t>Charter School FTE Payment</t>
    </r>
  </si>
  <si>
    <t>1. The FLDOE released the October 2024 FTE Survey 2 report on 11/06/24. FTE counts from this report are used in the June 2025</t>
  </si>
  <si>
    <t>2. The FDOE has issued the 2024-25 Third Calc Revenue Worksheet for Charter Schools,  which was used in the June 2025</t>
  </si>
  <si>
    <t>3. The FDOE released the updated October 2024 Survey 2 ESE and Transportation information, which was used in the June 2025</t>
  </si>
  <si>
    <t>July 2025</t>
  </si>
  <si>
    <t>FTE July 2025</t>
  </si>
  <si>
    <t>NOT PAYING FY 26</t>
  </si>
  <si>
    <t>SIS Fee Reduction</t>
  </si>
  <si>
    <t>Based on Estimates of July 2025 enrollment</t>
  </si>
  <si>
    <t>WPB-302255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</si>
</sst>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78" formatCode="mm/dd/yy;@"/>
    <numFmt numFmtId="179" formatCode="ddd\,\ mm/dd/yy;@"/>
    <numFmt numFmtId="180" formatCode="mmm\ yyyy"/>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
      <sz val="11"/>
      <color rgb="FFFF0000"/>
      <name val="Calibri"/>
      <family val="2"/>
      <scheme val="minor"/>
    </font>
    <font>
      <sz val="10"/>
      <color rgb="FFFF0000"/>
      <name val="Arial"/>
      <family val="2"/>
    </font>
    <font>
      <b/>
      <sz val="10"/>
      <color rgb="FFFF0000"/>
      <name val="Arial"/>
      <family val="2"/>
    </font>
  </fonts>
  <fills count="2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99FFCC"/>
        <bgColor indexed="64"/>
      </patternFill>
    </fill>
    <fill>
      <patternFill patternType="solid">
        <fgColor rgb="FF99CCFF"/>
        <bgColor indexed="64"/>
      </patternFill>
    </fill>
    <fill>
      <patternFill patternType="solid">
        <fgColor rgb="FFFF9999"/>
        <bgColor indexed="64"/>
      </patternFill>
    </fill>
    <fill>
      <patternFill patternType="solid">
        <fgColor theme="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4">
    <xf numFmtId="0" fontId="0" fillId="0" borderId="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165" fontId="11" fillId="0" borderId="0" applyFont="0" applyFill="0" applyBorder="0" applyAlignment="0" applyProtection="0"/>
    <xf numFmtId="44" fontId="20"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20" fillId="0" borderId="0"/>
    <xf numFmtId="9" fontId="11" fillId="0" borderId="0" applyFont="0" applyFill="0" applyBorder="0" applyAlignment="0" applyProtection="0"/>
    <xf numFmtId="9" fontId="20" fillId="0" borderId="0" applyFont="0" applyFill="0" applyBorder="0" applyAlignment="0" applyProtection="0"/>
    <xf numFmtId="0" fontId="10" fillId="0" borderId="0"/>
    <xf numFmtId="43" fontId="10" fillId="0" borderId="0" applyFont="0" applyFill="0" applyBorder="0" applyAlignment="0" applyProtection="0"/>
  </cellStyleXfs>
  <cellXfs count="886">
    <xf numFmtId="0" fontId="0" fillId="0" borderId="0" xfId="0"/>
    <xf numFmtId="0" fontId="21" fillId="0" borderId="0" xfId="0" quotePrefix="1" applyFont="1" applyAlignment="1">
      <alignment horizontal="left"/>
    </xf>
    <xf numFmtId="0" fontId="21" fillId="0" borderId="0" xfId="0" applyFont="1"/>
    <xf numFmtId="0" fontId="22" fillId="0" borderId="0" xfId="0" applyFont="1"/>
    <xf numFmtId="4" fontId="23" fillId="0" borderId="0" xfId="0" applyNumberFormat="1" applyFont="1"/>
    <xf numFmtId="4" fontId="23" fillId="2" borderId="0" xfId="0" applyNumberFormat="1" applyFont="1" applyFill="1"/>
    <xf numFmtId="4" fontId="23" fillId="2" borderId="0" xfId="0" applyNumberFormat="1" applyFont="1" applyFill="1" applyAlignment="1">
      <alignment horizontal="left"/>
    </xf>
    <xf numFmtId="0" fontId="24" fillId="0" borderId="0" xfId="0" applyFont="1" applyAlignment="1">
      <alignment horizontal="center"/>
    </xf>
    <xf numFmtId="7" fontId="25" fillId="0" borderId="0" xfId="0" applyNumberFormat="1" applyFont="1" applyAlignment="1">
      <alignment horizontal="center"/>
    </xf>
    <xf numFmtId="168" fontId="22" fillId="0" borderId="0" xfId="0" applyNumberFormat="1" applyFont="1" applyAlignment="1">
      <alignment wrapText="1"/>
    </xf>
    <xf numFmtId="4" fontId="22" fillId="0" borderId="0" xfId="0" applyNumberFormat="1" applyFont="1" applyAlignment="1">
      <alignment horizontal="center" wrapText="1"/>
    </xf>
    <xf numFmtId="164" fontId="22" fillId="0" borderId="0" xfId="6" applyFont="1" applyBorder="1" applyAlignment="1">
      <alignment horizontal="center" wrapText="1"/>
    </xf>
    <xf numFmtId="0" fontId="24" fillId="2" borderId="0" xfId="0" applyFont="1" applyFill="1" applyAlignment="1">
      <alignment horizontal="center"/>
    </xf>
    <xf numFmtId="7" fontId="25" fillId="2" borderId="0" xfId="0" applyNumberFormat="1" applyFont="1" applyFill="1" applyAlignment="1">
      <alignment horizontal="center"/>
    </xf>
    <xf numFmtId="168" fontId="22" fillId="2" borderId="0" xfId="0" applyNumberFormat="1" applyFont="1" applyFill="1" applyAlignment="1">
      <alignment wrapText="1"/>
    </xf>
    <xf numFmtId="4" fontId="22" fillId="2" borderId="0" xfId="0" applyNumberFormat="1" applyFont="1" applyFill="1" applyAlignment="1">
      <alignment horizontal="center" wrapText="1"/>
    </xf>
    <xf numFmtId="164" fontId="22" fillId="2" borderId="0" xfId="6" applyFont="1" applyFill="1" applyBorder="1" applyAlignment="1">
      <alignment horizontal="center" wrapText="1"/>
    </xf>
    <xf numFmtId="4" fontId="22" fillId="0" borderId="1" xfId="0" applyNumberFormat="1" applyFont="1" applyBorder="1" applyAlignment="1">
      <alignment horizontal="center" wrapText="1"/>
    </xf>
    <xf numFmtId="4" fontId="22" fillId="2" borderId="1" xfId="0" applyNumberFormat="1" applyFont="1" applyFill="1" applyBorder="1" applyAlignment="1">
      <alignment horizontal="center" wrapText="1"/>
    </xf>
    <xf numFmtId="164" fontId="26" fillId="2" borderId="1" xfId="6" applyFont="1" applyFill="1" applyBorder="1" applyAlignment="1">
      <alignment horizontal="center" wrapText="1"/>
    </xf>
    <xf numFmtId="4" fontId="22" fillId="0" borderId="1" xfId="0" quotePrefix="1" applyNumberFormat="1" applyFont="1" applyBorder="1" applyAlignment="1">
      <alignment horizontal="center"/>
    </xf>
    <xf numFmtId="164" fontId="22" fillId="0" borderId="1" xfId="6" quotePrefix="1" applyFont="1" applyBorder="1" applyAlignment="1">
      <alignment horizontal="center"/>
    </xf>
    <xf numFmtId="4" fontId="22" fillId="2" borderId="1" xfId="0" quotePrefix="1" applyNumberFormat="1" applyFont="1" applyFill="1" applyBorder="1" applyAlignment="1">
      <alignment horizontal="center"/>
    </xf>
    <xf numFmtId="164" fontId="22" fillId="2" borderId="1" xfId="6" quotePrefix="1" applyFont="1" applyFill="1" applyBorder="1" applyAlignment="1">
      <alignment horizontal="center"/>
    </xf>
    <xf numFmtId="170" fontId="22" fillId="0" borderId="0" xfId="6" applyNumberFormat="1" applyFont="1" applyBorder="1" applyAlignment="1">
      <alignment horizontal="center"/>
    </xf>
    <xf numFmtId="170" fontId="22" fillId="2" borderId="0" xfId="6" applyNumberFormat="1" applyFont="1" applyFill="1" applyBorder="1" applyAlignment="1">
      <alignment horizontal="center"/>
    </xf>
    <xf numFmtId="0" fontId="22" fillId="0" borderId="0" xfId="0" applyFont="1" applyAlignment="1">
      <alignment horizontal="right"/>
    </xf>
    <xf numFmtId="2" fontId="22" fillId="0" borderId="0" xfId="0" applyNumberFormat="1" applyFont="1" applyAlignment="1">
      <alignment horizontal="center"/>
    </xf>
    <xf numFmtId="0" fontId="22" fillId="2" borderId="0" xfId="0" applyFont="1" applyFill="1" applyAlignment="1">
      <alignment horizontal="right"/>
    </xf>
    <xf numFmtId="2" fontId="27" fillId="2" borderId="0" xfId="0" applyNumberFormat="1" applyFont="1" applyFill="1" applyAlignment="1">
      <alignment horizontal="center"/>
    </xf>
    <xf numFmtId="2" fontId="22" fillId="2" borderId="0" xfId="0" applyNumberFormat="1" applyFont="1" applyFill="1" applyAlignment="1">
      <alignment horizontal="center"/>
    </xf>
    <xf numFmtId="164" fontId="26" fillId="0" borderId="1" xfId="6" applyFont="1" applyBorder="1" applyAlignment="1">
      <alignment horizontal="center" wrapText="1"/>
    </xf>
    <xf numFmtId="169" fontId="22" fillId="0" borderId="0" xfId="0" applyNumberFormat="1" applyFont="1" applyAlignment="1">
      <alignment horizontal="right"/>
    </xf>
    <xf numFmtId="169" fontId="22" fillId="2" borderId="0" xfId="0" applyNumberFormat="1" applyFont="1" applyFill="1" applyAlignment="1">
      <alignment horizontal="right"/>
    </xf>
    <xf numFmtId="169" fontId="27" fillId="0" borderId="0" xfId="0" applyNumberFormat="1" applyFont="1" applyAlignment="1">
      <alignment horizontal="right"/>
    </xf>
    <xf numFmtId="169" fontId="27" fillId="2" borderId="0" xfId="0" applyNumberFormat="1" applyFont="1" applyFill="1" applyAlignment="1">
      <alignment horizontal="right"/>
    </xf>
    <xf numFmtId="0" fontId="22" fillId="0" borderId="1" xfId="0" applyFont="1" applyBorder="1"/>
    <xf numFmtId="0" fontId="22" fillId="0" borderId="0" xfId="0" applyFont="1" applyAlignment="1">
      <alignment horizontal="center"/>
    </xf>
    <xf numFmtId="0" fontId="22" fillId="2" borderId="0" xfId="0" applyFont="1" applyFill="1" applyAlignment="1">
      <alignment horizontal="center"/>
    </xf>
    <xf numFmtId="0" fontId="22" fillId="0" borderId="0" xfId="0" quotePrefix="1" applyFont="1" applyAlignment="1">
      <alignment horizontal="center"/>
    </xf>
    <xf numFmtId="0" fontId="22" fillId="2" borderId="0" xfId="0" quotePrefix="1" applyFont="1" applyFill="1" applyAlignment="1">
      <alignment horizontal="center"/>
    </xf>
    <xf numFmtId="4" fontId="27" fillId="2" borderId="1" xfId="0" applyNumberFormat="1" applyFont="1" applyFill="1" applyBorder="1" applyAlignment="1">
      <alignment horizontal="center"/>
    </xf>
    <xf numFmtId="0" fontId="24" fillId="0" borderId="0" xfId="0" quotePrefix="1" applyFont="1" applyAlignment="1">
      <alignment horizontal="center"/>
    </xf>
    <xf numFmtId="4" fontId="22" fillId="0" borderId="0" xfId="0" quotePrefix="1" applyNumberFormat="1" applyFont="1" applyAlignment="1">
      <alignment horizontal="center"/>
    </xf>
    <xf numFmtId="4" fontId="22" fillId="2" borderId="0" xfId="0" quotePrefix="1" applyNumberFormat="1" applyFont="1" applyFill="1" applyAlignment="1">
      <alignment horizontal="center"/>
    </xf>
    <xf numFmtId="0" fontId="22" fillId="2" borderId="0" xfId="0" applyFont="1" applyFill="1" applyAlignment="1">
      <alignment horizontal="left"/>
    </xf>
    <xf numFmtId="169" fontId="22" fillId="0" borderId="0" xfId="0" applyNumberFormat="1" applyFont="1" applyAlignment="1">
      <alignment horizontal="center"/>
    </xf>
    <xf numFmtId="169" fontId="22" fillId="2" borderId="0" xfId="0" applyNumberFormat="1" applyFont="1" applyFill="1" applyAlignment="1">
      <alignment horizontal="center"/>
    </xf>
    <xf numFmtId="4" fontId="22" fillId="2" borderId="0" xfId="0" applyNumberFormat="1" applyFont="1" applyFill="1" applyAlignment="1">
      <alignment horizontal="center"/>
    </xf>
    <xf numFmtId="16" fontId="22" fillId="0" borderId="0" xfId="0" quotePrefix="1" applyNumberFormat="1" applyFont="1" applyAlignment="1">
      <alignment horizontal="right"/>
    </xf>
    <xf numFmtId="16" fontId="22" fillId="2" borderId="0" xfId="0" quotePrefix="1" applyNumberFormat="1" applyFont="1" applyFill="1" applyAlignment="1">
      <alignment horizontal="right"/>
    </xf>
    <xf numFmtId="0" fontId="22" fillId="2" borderId="0" xfId="0" applyFont="1" applyFill="1"/>
    <xf numFmtId="0" fontId="22" fillId="0" borderId="0" xfId="0" quotePrefix="1" applyFont="1" applyAlignment="1">
      <alignment horizontal="right"/>
    </xf>
    <xf numFmtId="0" fontId="22" fillId="2" borderId="0" xfId="0" quotePrefix="1" applyFont="1" applyFill="1" applyAlignment="1">
      <alignment horizontal="right"/>
    </xf>
    <xf numFmtId="169" fontId="22" fillId="2" borderId="2" xfId="0" applyNumberFormat="1" applyFont="1" applyFill="1" applyBorder="1" applyAlignment="1">
      <alignment horizontal="center"/>
    </xf>
    <xf numFmtId="165" fontId="22" fillId="0" borderId="0" xfId="4" applyFont="1" applyBorder="1" applyAlignment="1">
      <alignment horizontal="right"/>
    </xf>
    <xf numFmtId="165" fontId="22" fillId="2" borderId="0" xfId="4" applyFont="1" applyFill="1" applyBorder="1" applyAlignment="1">
      <alignment horizontal="right"/>
    </xf>
    <xf numFmtId="169" fontId="22" fillId="2" borderId="3" xfId="0" applyNumberFormat="1" applyFont="1" applyFill="1" applyBorder="1" applyAlignment="1">
      <alignment horizontal="center"/>
    </xf>
    <xf numFmtId="38" fontId="22" fillId="2" borderId="0" xfId="0" quotePrefix="1" applyNumberFormat="1" applyFont="1" applyFill="1"/>
    <xf numFmtId="0" fontId="22" fillId="0" borderId="1" xfId="0" applyFont="1" applyBorder="1" applyAlignment="1">
      <alignment horizontal="center"/>
    </xf>
    <xf numFmtId="0" fontId="22" fillId="2" borderId="1" xfId="0" applyFont="1" applyFill="1" applyBorder="1" applyAlignment="1">
      <alignment horizontal="center"/>
    </xf>
    <xf numFmtId="7" fontId="22" fillId="3" borderId="0" xfId="0" applyNumberFormat="1" applyFont="1" applyFill="1"/>
    <xf numFmtId="7" fontId="22" fillId="2" borderId="0" xfId="0" applyNumberFormat="1" applyFont="1" applyFill="1"/>
    <xf numFmtId="7" fontId="22" fillId="3" borderId="1" xfId="0" applyNumberFormat="1" applyFont="1" applyFill="1" applyBorder="1"/>
    <xf numFmtId="7" fontId="22" fillId="2" borderId="1" xfId="0" applyNumberFormat="1" applyFont="1" applyFill="1" applyBorder="1"/>
    <xf numFmtId="0" fontId="28" fillId="0" borderId="0" xfId="0" applyFont="1"/>
    <xf numFmtId="0" fontId="28" fillId="2" borderId="0" xfId="0" applyFont="1" applyFill="1"/>
    <xf numFmtId="170" fontId="22" fillId="2" borderId="3" xfId="0" applyNumberFormat="1" applyFont="1" applyFill="1" applyBorder="1"/>
    <xf numFmtId="3" fontId="22" fillId="0" borderId="0" xfId="0" quotePrefix="1" applyNumberFormat="1" applyFont="1" applyAlignment="1">
      <alignment horizontal="center"/>
    </xf>
    <xf numFmtId="0" fontId="22" fillId="0" borderId="0" xfId="0" applyFont="1" applyAlignment="1">
      <alignment horizontal="left"/>
    </xf>
    <xf numFmtId="0" fontId="28" fillId="4" borderId="4" xfId="0" applyFont="1" applyFill="1" applyBorder="1" applyAlignment="1">
      <alignment horizontal="center"/>
    </xf>
    <xf numFmtId="0" fontId="26" fillId="2" borderId="0" xfId="0" applyFont="1" applyFill="1"/>
    <xf numFmtId="0" fontId="26" fillId="2" borderId="0" xfId="0" quotePrefix="1" applyFont="1" applyFill="1" applyAlignment="1">
      <alignment horizontal="left"/>
    </xf>
    <xf numFmtId="0" fontId="26" fillId="0" borderId="0" xfId="0" applyFont="1" applyAlignment="1">
      <alignment horizontal="left"/>
    </xf>
    <xf numFmtId="171" fontId="22" fillId="0" borderId="0" xfId="0" applyNumberFormat="1" applyFont="1" applyAlignment="1">
      <alignment horizontal="left"/>
    </xf>
    <xf numFmtId="169" fontId="24" fillId="0" borderId="0" xfId="0" applyNumberFormat="1" applyFont="1"/>
    <xf numFmtId="0" fontId="22" fillId="0" borderId="0" xfId="0" applyFont="1" applyAlignment="1">
      <alignment vertical="center"/>
    </xf>
    <xf numFmtId="170" fontId="22" fillId="0" borderId="0" xfId="0" applyNumberFormat="1" applyFont="1" applyAlignment="1">
      <alignment vertical="center"/>
    </xf>
    <xf numFmtId="171" fontId="22" fillId="0" borderId="0" xfId="0" applyNumberFormat="1" applyFont="1" applyAlignment="1">
      <alignment horizontal="left" vertical="center"/>
    </xf>
    <xf numFmtId="0" fontId="24" fillId="0" borderId="0" xfId="0" applyFont="1" applyAlignment="1">
      <alignment vertical="center"/>
    </xf>
    <xf numFmtId="172" fontId="22" fillId="0" borderId="0" xfId="0" applyNumberFormat="1" applyFont="1"/>
    <xf numFmtId="0" fontId="22" fillId="0" borderId="0" xfId="0" quotePrefix="1" applyFont="1" applyAlignment="1">
      <alignment horizontal="left"/>
    </xf>
    <xf numFmtId="0" fontId="29" fillId="0" borderId="3" xfId="0" applyFont="1" applyBorder="1"/>
    <xf numFmtId="4" fontId="22" fillId="2" borderId="0" xfId="0" applyNumberFormat="1" applyFont="1" applyFill="1" applyAlignment="1">
      <alignment horizontal="left"/>
    </xf>
    <xf numFmtId="0" fontId="24" fillId="0" borderId="0" xfId="0" quotePrefix="1" applyFont="1"/>
    <xf numFmtId="0" fontId="24" fillId="0" borderId="0" xfId="0" quotePrefix="1" applyFont="1" applyAlignment="1">
      <alignment horizontal="right"/>
    </xf>
    <xf numFmtId="49" fontId="24" fillId="0" borderId="0" xfId="0" applyNumberFormat="1" applyFont="1"/>
    <xf numFmtId="49" fontId="24" fillId="0" borderId="0" xfId="0" applyNumberFormat="1" applyFont="1" applyProtection="1">
      <protection locked="0"/>
    </xf>
    <xf numFmtId="7" fontId="28" fillId="0" borderId="0" xfId="0" quotePrefix="1" applyNumberFormat="1" applyFont="1" applyAlignment="1">
      <alignment horizontal="center"/>
    </xf>
    <xf numFmtId="7" fontId="28" fillId="0" borderId="0" xfId="0" applyNumberFormat="1" applyFont="1" applyAlignment="1">
      <alignment horizontal="center"/>
    </xf>
    <xf numFmtId="0" fontId="28" fillId="0" borderId="1" xfId="0" applyFont="1" applyBorder="1" applyAlignment="1">
      <alignment horizontal="center"/>
    </xf>
    <xf numFmtId="0" fontId="29" fillId="0" borderId="1" xfId="0" quotePrefix="1" applyFont="1" applyBorder="1"/>
    <xf numFmtId="0" fontId="22" fillId="0" borderId="1" xfId="0" quotePrefix="1" applyFont="1" applyBorder="1" applyAlignment="1">
      <alignment horizontal="center"/>
    </xf>
    <xf numFmtId="172" fontId="22" fillId="0" borderId="1" xfId="0" applyNumberFormat="1" applyFont="1" applyBorder="1"/>
    <xf numFmtId="43" fontId="22" fillId="0" borderId="1" xfId="1" applyFont="1" applyBorder="1" applyAlignment="1"/>
    <xf numFmtId="167" fontId="22" fillId="2" borderId="1" xfId="0" applyNumberFormat="1" applyFont="1" applyFill="1" applyBorder="1"/>
    <xf numFmtId="170" fontId="22" fillId="2" borderId="1" xfId="6" applyNumberFormat="1" applyFont="1" applyFill="1" applyBorder="1" applyAlignment="1"/>
    <xf numFmtId="43" fontId="22" fillId="0" borderId="5" xfId="1" applyFont="1" applyBorder="1" applyAlignment="1"/>
    <xf numFmtId="170" fontId="22" fillId="2" borderId="5" xfId="6" applyNumberFormat="1" applyFont="1" applyFill="1" applyBorder="1" applyAlignment="1"/>
    <xf numFmtId="172" fontId="22" fillId="0" borderId="5" xfId="0" applyNumberFormat="1" applyFont="1" applyBorder="1"/>
    <xf numFmtId="169" fontId="22" fillId="2" borderId="5" xfId="0" applyNumberFormat="1" applyFont="1" applyFill="1" applyBorder="1"/>
    <xf numFmtId="43" fontId="22" fillId="0" borderId="0" xfId="1" applyFont="1" applyBorder="1" applyAlignment="1"/>
    <xf numFmtId="169" fontId="22" fillId="2" borderId="0" xfId="0" applyNumberFormat="1" applyFont="1" applyFill="1"/>
    <xf numFmtId="170" fontId="22" fillId="2" borderId="0" xfId="6" applyNumberFormat="1" applyFont="1" applyFill="1" applyBorder="1" applyAlignment="1"/>
    <xf numFmtId="169" fontId="22" fillId="0" borderId="0" xfId="0" applyNumberFormat="1" applyFont="1"/>
    <xf numFmtId="2" fontId="28" fillId="0" borderId="1" xfId="0" applyNumberFormat="1" applyFont="1" applyBorder="1"/>
    <xf numFmtId="2" fontId="22" fillId="0" borderId="0" xfId="0" applyNumberFormat="1" applyFont="1"/>
    <xf numFmtId="2" fontId="22" fillId="0" borderId="0" xfId="0" quotePrefix="1" applyNumberFormat="1" applyFont="1" applyAlignment="1">
      <alignment horizontal="right"/>
    </xf>
    <xf numFmtId="170" fontId="22" fillId="2" borderId="3" xfId="6" applyNumberFormat="1" applyFont="1" applyFill="1" applyBorder="1" applyAlignment="1"/>
    <xf numFmtId="2" fontId="22" fillId="0" borderId="0" xfId="0" quotePrefix="1" applyNumberFormat="1" applyFont="1" applyAlignment="1">
      <alignment horizontal="center"/>
    </xf>
    <xf numFmtId="43" fontId="30" fillId="4" borderId="1" xfId="1" applyFont="1" applyFill="1" applyBorder="1" applyAlignment="1"/>
    <xf numFmtId="43" fontId="22" fillId="0" borderId="6" xfId="1" applyFont="1" applyBorder="1" applyAlignment="1"/>
    <xf numFmtId="43" fontId="27" fillId="0" borderId="1" xfId="1" applyFont="1" applyBorder="1" applyAlignment="1">
      <alignment horizontal="center"/>
    </xf>
    <xf numFmtId="4" fontId="31" fillId="0" borderId="0" xfId="0" applyNumberFormat="1" applyFont="1"/>
    <xf numFmtId="166" fontId="27" fillId="0" borderId="0" xfId="0" applyNumberFormat="1" applyFont="1" applyAlignment="1">
      <alignment horizontal="center"/>
    </xf>
    <xf numFmtId="166" fontId="27" fillId="0" borderId="0" xfId="0" applyNumberFormat="1" applyFont="1"/>
    <xf numFmtId="43" fontId="22" fillId="0" borderId="0" xfId="1" applyFont="1" applyFill="1" applyBorder="1" applyAlignment="1"/>
    <xf numFmtId="41" fontId="22" fillId="0" borderId="0" xfId="1" applyNumberFormat="1" applyFont="1" applyFill="1" applyBorder="1" applyAlignment="1"/>
    <xf numFmtId="0" fontId="31" fillId="0" borderId="0" xfId="0" applyFont="1"/>
    <xf numFmtId="0" fontId="31" fillId="0" borderId="0" xfId="0" quotePrefix="1" applyFont="1" applyAlignment="1">
      <alignment horizontal="left"/>
    </xf>
    <xf numFmtId="4" fontId="22" fillId="0" borderId="1" xfId="0" applyNumberFormat="1" applyFont="1" applyBorder="1" applyAlignment="1">
      <alignment horizontal="center"/>
    </xf>
    <xf numFmtId="4" fontId="22" fillId="0" borderId="0" xfId="0" applyNumberFormat="1" applyFont="1"/>
    <xf numFmtId="165" fontId="22" fillId="0" borderId="0" xfId="4" quotePrefix="1" applyFont="1" applyBorder="1" applyAlignment="1">
      <alignment horizontal="right"/>
    </xf>
    <xf numFmtId="165" fontId="22" fillId="0" borderId="0" xfId="4" applyFont="1" applyBorder="1" applyAlignment="1"/>
    <xf numFmtId="165" fontId="22" fillId="0" borderId="7" xfId="4" quotePrefix="1" applyFont="1" applyBorder="1" applyAlignment="1">
      <alignment horizontal="right"/>
    </xf>
    <xf numFmtId="4" fontId="22" fillId="2" borderId="0" xfId="0" quotePrefix="1" applyNumberFormat="1" applyFont="1" applyFill="1" applyAlignment="1">
      <alignment horizontal="left"/>
    </xf>
    <xf numFmtId="4" fontId="22" fillId="0" borderId="0" xfId="0" applyNumberFormat="1" applyFont="1" applyAlignment="1">
      <alignment horizontal="center"/>
    </xf>
    <xf numFmtId="0" fontId="28" fillId="0" borderId="0" xfId="0" applyFont="1" applyAlignment="1">
      <alignment horizontal="right"/>
    </xf>
    <xf numFmtId="4" fontId="22" fillId="0" borderId="0" xfId="0" applyNumberFormat="1" applyFont="1" applyAlignment="1">
      <alignment horizontal="left"/>
    </xf>
    <xf numFmtId="38" fontId="22" fillId="0" borderId="0" xfId="0" quotePrefix="1" applyNumberFormat="1" applyFont="1"/>
    <xf numFmtId="0" fontId="28" fillId="2" borderId="0" xfId="0" applyFont="1" applyFill="1" applyAlignment="1">
      <alignment horizontal="right"/>
    </xf>
    <xf numFmtId="0" fontId="28" fillId="2" borderId="0" xfId="0" applyFont="1" applyFill="1" applyAlignment="1">
      <alignment horizontal="center"/>
    </xf>
    <xf numFmtId="170" fontId="22" fillId="2" borderId="8" xfId="0" applyNumberFormat="1" applyFont="1" applyFill="1" applyBorder="1"/>
    <xf numFmtId="43" fontId="22" fillId="0" borderId="8" xfId="1" applyFont="1" applyBorder="1" applyAlignment="1"/>
    <xf numFmtId="170" fontId="22" fillId="0" borderId="0" xfId="0" applyNumberFormat="1" applyFont="1"/>
    <xf numFmtId="0" fontId="24" fillId="0" borderId="0" xfId="0" applyFont="1"/>
    <xf numFmtId="43" fontId="22" fillId="4" borderId="1" xfId="1" applyFont="1" applyFill="1" applyBorder="1" applyAlignment="1"/>
    <xf numFmtId="7" fontId="22" fillId="0" borderId="0" xfId="0" applyNumberFormat="1" applyFont="1" applyAlignment="1">
      <alignment horizontal="center"/>
    </xf>
    <xf numFmtId="170" fontId="22" fillId="2" borderId="0" xfId="0" applyNumberFormat="1" applyFont="1" applyFill="1"/>
    <xf numFmtId="0" fontId="33" fillId="0" borderId="0" xfId="0" applyFont="1"/>
    <xf numFmtId="0" fontId="30" fillId="0" borderId="0" xfId="0" applyFont="1" applyAlignment="1">
      <alignment horizontal="center"/>
    </xf>
    <xf numFmtId="43" fontId="30" fillId="4" borderId="6" xfId="1" applyFont="1" applyFill="1" applyBorder="1" applyAlignment="1"/>
    <xf numFmtId="43" fontId="22" fillId="4" borderId="6" xfId="1" applyFont="1" applyFill="1" applyBorder="1" applyAlignment="1"/>
    <xf numFmtId="43" fontId="30" fillId="4" borderId="0" xfId="1" applyFont="1" applyFill="1" applyBorder="1" applyAlignment="1"/>
    <xf numFmtId="43" fontId="22" fillId="4" borderId="0" xfId="1" applyFont="1" applyFill="1" applyBorder="1" applyAlignment="1"/>
    <xf numFmtId="172" fontId="22" fillId="0" borderId="6" xfId="0" applyNumberFormat="1" applyFont="1" applyBorder="1"/>
    <xf numFmtId="0" fontId="22" fillId="0" borderId="0" xfId="0" applyFont="1" applyAlignment="1">
      <alignment horizontal="left" indent="1"/>
    </xf>
    <xf numFmtId="43" fontId="34" fillId="4" borderId="6" xfId="1" applyFont="1" applyFill="1" applyBorder="1" applyAlignment="1"/>
    <xf numFmtId="4" fontId="28" fillId="0" borderId="6" xfId="0" applyNumberFormat="1" applyFont="1" applyBorder="1"/>
    <xf numFmtId="43" fontId="34" fillId="4" borderId="1" xfId="1" applyFont="1" applyFill="1" applyBorder="1" applyAlignment="1"/>
    <xf numFmtId="43" fontId="34" fillId="4" borderId="0" xfId="1" applyFont="1" applyFill="1" applyBorder="1" applyAlignment="1"/>
    <xf numFmtId="4" fontId="28" fillId="0" borderId="0" xfId="0" applyNumberFormat="1" applyFont="1"/>
    <xf numFmtId="173" fontId="22" fillId="0" borderId="9" xfId="1" applyNumberFormat="1" applyFont="1" applyBorder="1" applyAlignment="1"/>
    <xf numFmtId="41" fontId="22" fillId="0" borderId="0" xfId="1" applyNumberFormat="1" applyFont="1" applyBorder="1" applyAlignment="1"/>
    <xf numFmtId="43" fontId="22" fillId="0" borderId="1" xfId="1" applyFont="1" applyFill="1" applyBorder="1" applyAlignment="1"/>
    <xf numFmtId="43" fontId="22" fillId="5" borderId="8" xfId="1" applyFont="1" applyFill="1" applyBorder="1" applyAlignment="1"/>
    <xf numFmtId="0" fontId="22" fillId="0" borderId="0" xfId="0" applyFont="1" applyAlignment="1">
      <alignment horizontal="left" indent="2"/>
    </xf>
    <xf numFmtId="0" fontId="22" fillId="0" borderId="0" xfId="7" applyFont="1"/>
    <xf numFmtId="0" fontId="35" fillId="0" borderId="0" xfId="9" applyFont="1"/>
    <xf numFmtId="0" fontId="30" fillId="0" borderId="10" xfId="9" applyFont="1" applyBorder="1" applyAlignment="1">
      <alignment horizontal="right"/>
    </xf>
    <xf numFmtId="0" fontId="28" fillId="0" borderId="11" xfId="9" applyFont="1" applyBorder="1"/>
    <xf numFmtId="0" fontId="22" fillId="0" borderId="0" xfId="9" applyFont="1"/>
    <xf numFmtId="0" fontId="36" fillId="0" borderId="0" xfId="9" applyFont="1"/>
    <xf numFmtId="0" fontId="28" fillId="0" borderId="1" xfId="9" applyFont="1" applyBorder="1" applyAlignment="1">
      <alignment horizontal="center"/>
    </xf>
    <xf numFmtId="0" fontId="36" fillId="0" borderId="10" xfId="9" applyFont="1" applyBorder="1"/>
    <xf numFmtId="0" fontId="36" fillId="0" borderId="11" xfId="9" applyFont="1" applyBorder="1" applyAlignment="1">
      <alignment horizontal="center"/>
    </xf>
    <xf numFmtId="44" fontId="35" fillId="0" borderId="0" xfId="9" applyNumberFormat="1" applyFont="1"/>
    <xf numFmtId="0" fontId="36" fillId="0" borderId="0" xfId="9" applyFont="1" applyAlignment="1">
      <alignment horizontal="right"/>
    </xf>
    <xf numFmtId="43" fontId="28" fillId="0" borderId="1" xfId="3" applyFont="1" applyBorder="1"/>
    <xf numFmtId="9" fontId="24" fillId="0" borderId="1" xfId="11" applyFont="1" applyBorder="1"/>
    <xf numFmtId="43" fontId="24" fillId="0" borderId="1" xfId="3" applyFont="1" applyBorder="1"/>
    <xf numFmtId="49" fontId="21" fillId="0" borderId="0" xfId="9" quotePrefix="1" applyNumberFormat="1" applyFont="1" applyAlignment="1">
      <alignment horizontal="left"/>
    </xf>
    <xf numFmtId="0" fontId="22" fillId="0" borderId="0" xfId="7" quotePrefix="1" applyFont="1" applyAlignment="1">
      <alignment horizontal="left"/>
    </xf>
    <xf numFmtId="0" fontId="36" fillId="0" borderId="0" xfId="9" quotePrefix="1" applyFont="1" applyAlignment="1">
      <alignment horizontal="left"/>
    </xf>
    <xf numFmtId="43" fontId="36" fillId="0" borderId="5" xfId="1" applyFont="1" applyBorder="1"/>
    <xf numFmtId="43" fontId="22" fillId="0" borderId="0" xfId="1" quotePrefix="1" applyFont="1" applyBorder="1" applyAlignment="1"/>
    <xf numFmtId="43" fontId="36" fillId="0" borderId="0" xfId="1" applyFont="1" applyBorder="1"/>
    <xf numFmtId="41" fontId="36" fillId="0" borderId="5" xfId="1" applyNumberFormat="1" applyFont="1" applyBorder="1"/>
    <xf numFmtId="41" fontId="36" fillId="0" borderId="0" xfId="1" applyNumberFormat="1" applyFont="1" applyBorder="1"/>
    <xf numFmtId="41" fontId="36" fillId="0" borderId="1" xfId="1" applyNumberFormat="1" applyFont="1" applyBorder="1"/>
    <xf numFmtId="0" fontId="30" fillId="0" borderId="5" xfId="9" applyFont="1" applyBorder="1" applyAlignment="1">
      <alignment horizontal="right"/>
    </xf>
    <xf numFmtId="0" fontId="36" fillId="0" borderId="5" xfId="9" applyFont="1" applyBorder="1"/>
    <xf numFmtId="43" fontId="28" fillId="0" borderId="0" xfId="3" applyFont="1" applyBorder="1"/>
    <xf numFmtId="43" fontId="35" fillId="0" borderId="0" xfId="1" applyFont="1"/>
    <xf numFmtId="0" fontId="36" fillId="0" borderId="0" xfId="9" quotePrefix="1" applyFont="1" applyAlignment="1">
      <alignment horizontal="left" indent="1"/>
    </xf>
    <xf numFmtId="0" fontId="35" fillId="0" borderId="0" xfId="9" quotePrefix="1" applyFont="1" applyAlignment="1">
      <alignment horizontal="left"/>
    </xf>
    <xf numFmtId="43" fontId="35" fillId="0" borderId="0" xfId="1" applyFont="1" applyBorder="1"/>
    <xf numFmtId="43" fontId="22" fillId="0" borderId="6" xfId="1" applyFont="1" applyFill="1" applyBorder="1" applyAlignment="1"/>
    <xf numFmtId="0" fontId="25" fillId="0" borderId="0" xfId="0" applyFont="1"/>
    <xf numFmtId="0" fontId="25" fillId="0" borderId="0" xfId="0" applyFont="1" applyAlignment="1">
      <alignment horizontal="left"/>
    </xf>
    <xf numFmtId="1" fontId="25" fillId="0" borderId="0" xfId="0" applyNumberFormat="1" applyFont="1" applyAlignment="1">
      <alignment horizontal="center"/>
    </xf>
    <xf numFmtId="0" fontId="25" fillId="0" borderId="0" xfId="0" applyFont="1" applyAlignment="1">
      <alignment horizontal="center"/>
    </xf>
    <xf numFmtId="1" fontId="26" fillId="0" borderId="4" xfId="0" applyNumberFormat="1" applyFont="1" applyBorder="1" applyAlignment="1">
      <alignment horizontal="center"/>
    </xf>
    <xf numFmtId="0" fontId="26" fillId="0" borderId="10" xfId="0" applyFont="1" applyBorder="1" applyAlignment="1">
      <alignment horizontal="center"/>
    </xf>
    <xf numFmtId="0" fontId="26" fillId="0" borderId="0" xfId="0" applyFont="1" applyAlignment="1">
      <alignment horizontal="center"/>
    </xf>
    <xf numFmtId="1" fontId="25" fillId="0" borderId="0" xfId="7" applyNumberFormat="1" applyFont="1" applyAlignment="1">
      <alignment horizontal="center"/>
    </xf>
    <xf numFmtId="0" fontId="25" fillId="0" borderId="0" xfId="0" quotePrefix="1" applyFont="1"/>
    <xf numFmtId="43" fontId="25" fillId="0" borderId="0" xfId="7" applyNumberFormat="1" applyFont="1"/>
    <xf numFmtId="0" fontId="26" fillId="4" borderId="0" xfId="0" applyFont="1" applyFill="1" applyAlignment="1">
      <alignment horizontal="center"/>
    </xf>
    <xf numFmtId="1" fontId="25" fillId="4" borderId="0" xfId="7" applyNumberFormat="1" applyFont="1" applyFill="1" applyAlignment="1">
      <alignment horizontal="center"/>
    </xf>
    <xf numFmtId="43" fontId="25" fillId="4" borderId="0" xfId="7" applyNumberFormat="1" applyFont="1" applyFill="1"/>
    <xf numFmtId="43" fontId="25" fillId="0" borderId="0" xfId="0" applyNumberFormat="1" applyFont="1"/>
    <xf numFmtId="43" fontId="25" fillId="0" borderId="9" xfId="0" applyNumberFormat="1" applyFont="1" applyBorder="1"/>
    <xf numFmtId="49" fontId="26" fillId="0" borderId="0" xfId="2" quotePrefix="1" applyNumberFormat="1" applyFont="1" applyAlignment="1">
      <alignment horizontal="left"/>
    </xf>
    <xf numFmtId="0" fontId="26" fillId="0" borderId="0" xfId="7" applyFont="1"/>
    <xf numFmtId="49" fontId="26" fillId="0" borderId="0" xfId="7" applyNumberFormat="1" applyFont="1" applyAlignment="1">
      <alignment horizontal="left"/>
    </xf>
    <xf numFmtId="49" fontId="26" fillId="0" borderId="0" xfId="2" applyNumberFormat="1" applyFont="1" applyAlignment="1">
      <alignment horizontal="left"/>
    </xf>
    <xf numFmtId="49" fontId="26" fillId="0" borderId="4" xfId="7" quotePrefix="1" applyNumberFormat="1" applyFont="1" applyBorder="1" applyAlignment="1">
      <alignment horizontal="center"/>
    </xf>
    <xf numFmtId="0" fontId="26" fillId="0" borderId="4" xfId="7" quotePrefix="1" applyFont="1" applyBorder="1" applyAlignment="1">
      <alignment horizontal="center"/>
    </xf>
    <xf numFmtId="49" fontId="37" fillId="0" borderId="0" xfId="7" quotePrefix="1" applyNumberFormat="1" applyFont="1" applyAlignment="1">
      <alignment horizontal="center" vertical="center"/>
    </xf>
    <xf numFmtId="177" fontId="37" fillId="0" borderId="0" xfId="7" quotePrefix="1" applyNumberFormat="1" applyFont="1" applyAlignment="1">
      <alignment horizontal="left"/>
    </xf>
    <xf numFmtId="177" fontId="37" fillId="0" borderId="0" xfId="7" applyNumberFormat="1" applyFont="1"/>
    <xf numFmtId="0" fontId="25" fillId="0" borderId="0" xfId="7" applyFont="1"/>
    <xf numFmtId="49" fontId="37" fillId="0" borderId="0" xfId="7" applyNumberFormat="1" applyFont="1" applyAlignment="1">
      <alignment horizontal="center" vertical="center"/>
    </xf>
    <xf numFmtId="0" fontId="25" fillId="0" borderId="0" xfId="7" quotePrefix="1" applyFont="1" applyAlignment="1">
      <alignment horizontal="left"/>
    </xf>
    <xf numFmtId="176" fontId="25" fillId="0" borderId="0" xfId="0" applyNumberFormat="1" applyFont="1"/>
    <xf numFmtId="1" fontId="26" fillId="0" borderId="0" xfId="0" quotePrefix="1" applyNumberFormat="1" applyFont="1"/>
    <xf numFmtId="1" fontId="25" fillId="0" borderId="0" xfId="0" applyNumberFormat="1" applyFont="1"/>
    <xf numFmtId="1" fontId="25" fillId="0" borderId="0" xfId="7" applyNumberFormat="1" applyFont="1"/>
    <xf numFmtId="1" fontId="25" fillId="4" borderId="0" xfId="7" applyNumberFormat="1" applyFont="1" applyFill="1"/>
    <xf numFmtId="1" fontId="26" fillId="0" borderId="10" xfId="0" applyNumberFormat="1" applyFont="1" applyBorder="1" applyAlignment="1">
      <alignment horizontal="center"/>
    </xf>
    <xf numFmtId="7" fontId="24" fillId="0" borderId="0" xfId="0" applyNumberFormat="1" applyFont="1" applyAlignment="1">
      <alignment horizontal="left"/>
    </xf>
    <xf numFmtId="169" fontId="24" fillId="0" borderId="0" xfId="0" applyNumberFormat="1" applyFont="1" applyAlignment="1">
      <alignment horizontal="center"/>
    </xf>
    <xf numFmtId="7" fontId="22" fillId="0" borderId="0" xfId="0" applyNumberFormat="1" applyFont="1"/>
    <xf numFmtId="7" fontId="22" fillId="0" borderId="1" xfId="0" applyNumberFormat="1" applyFont="1" applyBorder="1"/>
    <xf numFmtId="4" fontId="22" fillId="0" borderId="2" xfId="0" applyNumberFormat="1" applyFont="1" applyBorder="1"/>
    <xf numFmtId="4" fontId="23" fillId="0" borderId="2" xfId="0" applyNumberFormat="1" applyFont="1" applyBorder="1" applyAlignment="1">
      <alignment horizontal="left"/>
    </xf>
    <xf numFmtId="4" fontId="23" fillId="0" borderId="2" xfId="0" applyNumberFormat="1" applyFont="1" applyBorder="1"/>
    <xf numFmtId="1" fontId="25" fillId="4" borderId="0" xfId="7" applyNumberFormat="1" applyFont="1" applyFill="1" applyAlignment="1">
      <alignment horizontal="left" indent="1"/>
    </xf>
    <xf numFmtId="0" fontId="26" fillId="0" borderId="0" xfId="0" quotePrefix="1" applyFont="1" applyAlignment="1">
      <alignment horizontal="center"/>
    </xf>
    <xf numFmtId="1" fontId="25" fillId="0" borderId="0" xfId="7" applyNumberFormat="1" applyFont="1" applyAlignment="1">
      <alignment horizontal="left" indent="1"/>
    </xf>
    <xf numFmtId="0" fontId="25" fillId="0" borderId="0" xfId="0" quotePrefix="1" applyFont="1" applyAlignment="1">
      <alignment horizontal="left" indent="1"/>
    </xf>
    <xf numFmtId="0" fontId="25" fillId="4" borderId="0" xfId="0" quotePrefix="1" applyFont="1" applyFill="1" applyAlignment="1">
      <alignment horizontal="left" indent="1"/>
    </xf>
    <xf numFmtId="0" fontId="26" fillId="0" borderId="4" xfId="0" applyFont="1" applyBorder="1" applyAlignment="1">
      <alignment horizontal="center"/>
    </xf>
    <xf numFmtId="4" fontId="23" fillId="0" borderId="0" xfId="0" applyNumberFormat="1" applyFont="1" applyAlignment="1">
      <alignment horizontal="left"/>
    </xf>
    <xf numFmtId="4" fontId="22" fillId="0" borderId="2" xfId="0" applyNumberFormat="1" applyFont="1" applyBorder="1" applyAlignment="1">
      <alignment horizontal="left"/>
    </xf>
    <xf numFmtId="43" fontId="22" fillId="0" borderId="0" xfId="0" applyNumberFormat="1" applyFont="1"/>
    <xf numFmtId="1" fontId="38" fillId="0" borderId="0" xfId="0" quotePrefix="1" applyNumberFormat="1" applyFont="1" applyAlignment="1">
      <alignment horizontal="left"/>
    </xf>
    <xf numFmtId="43" fontId="25" fillId="0" borderId="0" xfId="1" applyFont="1"/>
    <xf numFmtId="43" fontId="26" fillId="0" borderId="0" xfId="1" quotePrefix="1" applyFont="1" applyFill="1" applyBorder="1" applyAlignment="1">
      <alignment horizontal="center"/>
    </xf>
    <xf numFmtId="43" fontId="25" fillId="0" borderId="0" xfId="1" applyFont="1" applyFill="1" applyBorder="1" applyAlignment="1"/>
    <xf numFmtId="0" fontId="25" fillId="0" borderId="0" xfId="0" quotePrefix="1" applyFont="1" applyAlignment="1">
      <alignment horizontal="left"/>
    </xf>
    <xf numFmtId="0" fontId="25" fillId="0" borderId="0" xfId="0" quotePrefix="1" applyFont="1" applyAlignment="1">
      <alignment horizontal="center"/>
    </xf>
    <xf numFmtId="0" fontId="26" fillId="0" borderId="0" xfId="0" quotePrefix="1" applyFont="1" applyAlignment="1">
      <alignment vertical="center"/>
    </xf>
    <xf numFmtId="41" fontId="30" fillId="0" borderId="0" xfId="1" applyNumberFormat="1" applyFont="1" applyFill="1" applyBorder="1"/>
    <xf numFmtId="43" fontId="30" fillId="0" borderId="1" xfId="1" quotePrefix="1" applyFont="1" applyBorder="1" applyAlignment="1"/>
    <xf numFmtId="43" fontId="34" fillId="0" borderId="0" xfId="9" applyNumberFormat="1" applyFont="1"/>
    <xf numFmtId="43" fontId="34" fillId="0" borderId="1" xfId="9" applyNumberFormat="1" applyFont="1" applyBorder="1"/>
    <xf numFmtId="0" fontId="24" fillId="0" borderId="0" xfId="0" quotePrefix="1" applyFont="1" applyAlignment="1">
      <alignment horizontal="left"/>
    </xf>
    <xf numFmtId="43" fontId="30" fillId="0" borderId="1" xfId="1" applyFont="1" applyBorder="1"/>
    <xf numFmtId="16" fontId="22" fillId="0" borderId="0" xfId="0" applyNumberFormat="1" applyFont="1"/>
    <xf numFmtId="0" fontId="26" fillId="0" borderId="0" xfId="0" applyFont="1"/>
    <xf numFmtId="0" fontId="26" fillId="0" borderId="0" xfId="0" quotePrefix="1" applyFont="1" applyAlignment="1">
      <alignment horizontal="left" indent="4"/>
    </xf>
    <xf numFmtId="0" fontId="30" fillId="0" borderId="0" xfId="0" quotePrefix="1" applyFont="1" applyAlignment="1">
      <alignment horizontal="left"/>
    </xf>
    <xf numFmtId="0" fontId="30" fillId="0" borderId="0" xfId="0" applyFont="1"/>
    <xf numFmtId="0" fontId="30" fillId="0" borderId="0" xfId="0" quotePrefix="1" applyFont="1" applyAlignment="1">
      <alignment horizontal="left" indent="4"/>
    </xf>
    <xf numFmtId="0" fontId="22" fillId="4" borderId="4" xfId="0" applyFont="1" applyFill="1" applyBorder="1" applyAlignment="1">
      <alignment horizontal="left"/>
    </xf>
    <xf numFmtId="0" fontId="22" fillId="4" borderId="4" xfId="0" applyFont="1" applyFill="1" applyBorder="1" applyAlignment="1">
      <alignment horizontal="center"/>
    </xf>
    <xf numFmtId="0" fontId="36" fillId="0" borderId="0" xfId="9" quotePrefix="1" applyFont="1" applyAlignment="1">
      <alignment horizontal="right"/>
    </xf>
    <xf numFmtId="43" fontId="39" fillId="0" borderId="0" xfId="1" applyFont="1"/>
    <xf numFmtId="0" fontId="39" fillId="0" borderId="0" xfId="0" applyFont="1"/>
    <xf numFmtId="1" fontId="25" fillId="0" borderId="0" xfId="7" quotePrefix="1" applyNumberFormat="1" applyFont="1" applyAlignment="1">
      <alignment horizontal="left"/>
    </xf>
    <xf numFmtId="1" fontId="25" fillId="4" borderId="0" xfId="7" quotePrefix="1" applyNumberFormat="1" applyFont="1" applyFill="1" applyAlignment="1">
      <alignment horizontal="left"/>
    </xf>
    <xf numFmtId="1" fontId="25" fillId="0" borderId="0" xfId="2" applyNumberFormat="1" applyFont="1" applyFill="1" applyBorder="1" applyAlignment="1">
      <alignment horizontal="center"/>
    </xf>
    <xf numFmtId="1" fontId="25" fillId="0" borderId="0" xfId="2" applyNumberFormat="1" applyFont="1" applyFill="1" applyBorder="1" applyAlignment="1"/>
    <xf numFmtId="1" fontId="25" fillId="0" borderId="0" xfId="2" quotePrefix="1" applyNumberFormat="1" applyFont="1" applyFill="1" applyBorder="1" applyAlignment="1">
      <alignment horizontal="left"/>
    </xf>
    <xf numFmtId="43" fontId="22" fillId="0" borderId="0" xfId="1" applyFont="1" applyBorder="1" applyAlignment="1">
      <alignment horizontal="center"/>
    </xf>
    <xf numFmtId="43" fontId="30" fillId="0" borderId="0" xfId="1" applyFont="1" applyBorder="1"/>
    <xf numFmtId="43" fontId="22" fillId="5" borderId="9" xfId="1" applyFont="1" applyFill="1" applyBorder="1" applyAlignment="1"/>
    <xf numFmtId="0" fontId="25" fillId="0" borderId="0" xfId="0" quotePrefix="1" applyFont="1" applyAlignment="1">
      <alignment horizontal="right"/>
    </xf>
    <xf numFmtId="43" fontId="26" fillId="0" borderId="4" xfId="1" quotePrefix="1" applyFont="1" applyFill="1" applyBorder="1" applyAlignment="1">
      <alignment horizontal="center"/>
    </xf>
    <xf numFmtId="43" fontId="30" fillId="0" borderId="1" xfId="1" applyFont="1" applyBorder="1" applyAlignment="1"/>
    <xf numFmtId="37" fontId="30" fillId="0" borderId="1" xfId="1" applyNumberFormat="1" applyFont="1" applyBorder="1" applyAlignment="1"/>
    <xf numFmtId="37" fontId="30" fillId="0" borderId="1" xfId="1" applyNumberFormat="1" applyFont="1" applyBorder="1" applyAlignment="1">
      <alignment horizontal="center"/>
    </xf>
    <xf numFmtId="37" fontId="30" fillId="0" borderId="0" xfId="1" applyNumberFormat="1" applyFont="1"/>
    <xf numFmtId="41" fontId="30" fillId="0" borderId="0" xfId="1" applyNumberFormat="1" applyFont="1" applyFill="1" applyBorder="1" applyAlignment="1"/>
    <xf numFmtId="49" fontId="25" fillId="0" borderId="0" xfId="0" quotePrefix="1" applyNumberFormat="1" applyFont="1" applyAlignment="1">
      <alignment horizontal="left" indent="1"/>
    </xf>
    <xf numFmtId="49" fontId="25" fillId="4" borderId="0" xfId="0" quotePrefix="1" applyNumberFormat="1" applyFont="1" applyFill="1"/>
    <xf numFmtId="49" fontId="25" fillId="4" borderId="0" xfId="0" quotePrefix="1" applyNumberFormat="1" applyFont="1" applyFill="1" applyAlignment="1">
      <alignment horizontal="left" indent="1"/>
    </xf>
    <xf numFmtId="49" fontId="25" fillId="4" borderId="0" xfId="7" applyNumberFormat="1" applyFont="1" applyFill="1" applyAlignment="1">
      <alignment horizontal="left" indent="1"/>
    </xf>
    <xf numFmtId="49" fontId="25" fillId="0" borderId="0" xfId="0" applyNumberFormat="1" applyFont="1"/>
    <xf numFmtId="0" fontId="22" fillId="0" borderId="0" xfId="0" quotePrefix="1" applyFont="1" applyAlignment="1">
      <alignment horizontal="left" indent="1"/>
    </xf>
    <xf numFmtId="49" fontId="30" fillId="0" borderId="0" xfId="7" applyNumberFormat="1" applyFont="1"/>
    <xf numFmtId="0" fontId="25" fillId="0" borderId="0" xfId="0" applyFont="1" applyAlignment="1">
      <alignment horizontal="right"/>
    </xf>
    <xf numFmtId="0" fontId="26" fillId="0" borderId="0" xfId="0" quotePrefix="1" applyFont="1" applyAlignment="1">
      <alignment horizontal="left" vertical="top"/>
    </xf>
    <xf numFmtId="0" fontId="21" fillId="0" borderId="0" xfId="0" quotePrefix="1" applyFont="1"/>
    <xf numFmtId="169" fontId="24" fillId="6" borderId="0" xfId="0" applyNumberFormat="1" applyFont="1" applyFill="1" applyAlignment="1">
      <alignment horizontal="center"/>
    </xf>
    <xf numFmtId="4" fontId="30" fillId="6" borderId="1" xfId="0" applyNumberFormat="1" applyFont="1" applyFill="1" applyBorder="1" applyAlignment="1">
      <alignment horizontal="center"/>
    </xf>
    <xf numFmtId="43" fontId="30" fillId="6" borderId="1" xfId="1" applyFont="1" applyFill="1" applyBorder="1" applyAlignment="1"/>
    <xf numFmtId="41" fontId="30" fillId="6" borderId="0" xfId="1" applyNumberFormat="1" applyFont="1" applyFill="1" applyBorder="1" applyAlignment="1"/>
    <xf numFmtId="175" fontId="30" fillId="6" borderId="0" xfId="0" applyNumberFormat="1" applyFont="1" applyFill="1"/>
    <xf numFmtId="38" fontId="30" fillId="6" borderId="0" xfId="0" quotePrefix="1" applyNumberFormat="1" applyFont="1" applyFill="1"/>
    <xf numFmtId="0" fontId="40" fillId="0" borderId="0" xfId="0" applyFont="1"/>
    <xf numFmtId="0" fontId="30" fillId="3" borderId="0" xfId="0" quotePrefix="1" applyFont="1" applyFill="1" applyAlignment="1">
      <alignment horizontal="left"/>
    </xf>
    <xf numFmtId="0" fontId="30" fillId="3" borderId="0" xfId="0" applyFont="1" applyFill="1"/>
    <xf numFmtId="16" fontId="25" fillId="0" borderId="0" xfId="0" applyNumberFormat="1" applyFont="1"/>
    <xf numFmtId="43" fontId="39" fillId="0" borderId="0" xfId="1" applyFont="1" applyFill="1"/>
    <xf numFmtId="43" fontId="25" fillId="0" borderId="0" xfId="1" applyFont="1" applyFill="1"/>
    <xf numFmtId="7" fontId="24" fillId="6" borderId="0" xfId="0" applyNumberFormat="1" applyFont="1" applyFill="1" applyAlignment="1">
      <alignment horizontal="left"/>
    </xf>
    <xf numFmtId="4" fontId="22" fillId="6" borderId="1" xfId="0" applyNumberFormat="1" applyFont="1" applyFill="1" applyBorder="1" applyAlignment="1">
      <alignment horizontal="center"/>
    </xf>
    <xf numFmtId="43" fontId="22" fillId="6" borderId="1" xfId="1" applyFont="1" applyFill="1" applyBorder="1" applyAlignment="1"/>
    <xf numFmtId="41" fontId="22" fillId="6" borderId="0" xfId="1" applyNumberFormat="1" applyFont="1" applyFill="1" applyBorder="1" applyAlignment="1"/>
    <xf numFmtId="4" fontId="22" fillId="6" borderId="0" xfId="0" applyNumberFormat="1" applyFont="1" applyFill="1" applyAlignment="1">
      <alignment horizontal="center"/>
    </xf>
    <xf numFmtId="38" fontId="22" fillId="6" borderId="0" xfId="0" quotePrefix="1" applyNumberFormat="1" applyFont="1" applyFill="1"/>
    <xf numFmtId="164" fontId="22" fillId="0" borderId="0" xfId="6" quotePrefix="1" applyFont="1" applyBorder="1" applyAlignment="1">
      <alignment horizontal="center" wrapText="1"/>
    </xf>
    <xf numFmtId="3" fontId="22" fillId="2" borderId="0" xfId="0" quotePrefix="1" applyNumberFormat="1" applyFont="1" applyFill="1"/>
    <xf numFmtId="0" fontId="18" fillId="0" borderId="0" xfId="0" quotePrefix="1" applyFont="1" applyAlignment="1">
      <alignment horizontal="left"/>
    </xf>
    <xf numFmtId="0" fontId="41" fillId="0" borderId="0" xfId="0" applyFont="1"/>
    <xf numFmtId="0" fontId="22" fillId="7" borderId="0" xfId="0" applyFont="1" applyFill="1"/>
    <xf numFmtId="0" fontId="22" fillId="7" borderId="0" xfId="0" applyFont="1" applyFill="1" applyAlignment="1">
      <alignment horizontal="left"/>
    </xf>
    <xf numFmtId="0" fontId="28" fillId="7" borderId="0" xfId="0" applyFont="1" applyFill="1"/>
    <xf numFmtId="43" fontId="22" fillId="7" borderId="0" xfId="1" applyFont="1" applyFill="1" applyBorder="1" applyAlignment="1"/>
    <xf numFmtId="1" fontId="25" fillId="0" borderId="0" xfId="2" quotePrefix="1" applyNumberFormat="1" applyFont="1" applyFill="1" applyBorder="1" applyAlignment="1">
      <alignment horizontal="center"/>
    </xf>
    <xf numFmtId="1" fontId="25" fillId="0" borderId="0" xfId="2" quotePrefix="1" applyNumberFormat="1" applyFont="1" applyFill="1" applyBorder="1" applyAlignment="1"/>
    <xf numFmtId="49" fontId="25" fillId="0" borderId="0" xfId="7" applyNumberFormat="1" applyFont="1"/>
    <xf numFmtId="49" fontId="25" fillId="4" borderId="0" xfId="7" quotePrefix="1" applyNumberFormat="1" applyFont="1" applyFill="1" applyAlignment="1">
      <alignment horizontal="left" indent="1"/>
    </xf>
    <xf numFmtId="0" fontId="26" fillId="0" borderId="12" xfId="0" applyFont="1" applyBorder="1" applyAlignment="1">
      <alignment horizontal="center"/>
    </xf>
    <xf numFmtId="0" fontId="26" fillId="0" borderId="13" xfId="0" applyFont="1" applyBorder="1" applyAlignment="1">
      <alignment horizontal="center"/>
    </xf>
    <xf numFmtId="0" fontId="26" fillId="0" borderId="14" xfId="0" applyFont="1" applyBorder="1" applyAlignment="1">
      <alignment horizontal="center"/>
    </xf>
    <xf numFmtId="0" fontId="26" fillId="0" borderId="4" xfId="0" quotePrefix="1" applyFont="1" applyBorder="1" applyAlignment="1">
      <alignment horizontal="center"/>
    </xf>
    <xf numFmtId="1" fontId="25" fillId="0" borderId="0" xfId="8" applyNumberFormat="1" applyFont="1" applyAlignment="1">
      <alignment horizontal="center"/>
    </xf>
    <xf numFmtId="1" fontId="25" fillId="0" borderId="0" xfId="8" applyNumberFormat="1" applyFont="1"/>
    <xf numFmtId="10" fontId="25" fillId="0" borderId="0" xfId="10" applyNumberFormat="1" applyFont="1"/>
    <xf numFmtId="1" fontId="25" fillId="0" borderId="0" xfId="8" quotePrefix="1" applyNumberFormat="1" applyFont="1" applyAlignment="1">
      <alignment horizontal="left"/>
    </xf>
    <xf numFmtId="9" fontId="23" fillId="0" borderId="0" xfId="11" quotePrefix="1" applyFont="1" applyAlignment="1">
      <alignment horizontal="left"/>
    </xf>
    <xf numFmtId="9" fontId="26" fillId="0" borderId="12" xfId="0" applyNumberFormat="1" applyFont="1" applyBorder="1" applyAlignment="1">
      <alignment horizontal="center"/>
    </xf>
    <xf numFmtId="43" fontId="25" fillId="0" borderId="1" xfId="0" applyNumberFormat="1" applyFont="1" applyBorder="1"/>
    <xf numFmtId="43" fontId="25" fillId="0" borderId="8" xfId="0" applyNumberFormat="1" applyFont="1" applyBorder="1"/>
    <xf numFmtId="43" fontId="25" fillId="0" borderId="4" xfId="1" applyFont="1" applyBorder="1" applyAlignment="1">
      <alignment horizontal="center"/>
    </xf>
    <xf numFmtId="10" fontId="25" fillId="0" borderId="15" xfId="10" applyNumberFormat="1" applyFont="1" applyBorder="1"/>
    <xf numFmtId="43" fontId="25" fillId="0" borderId="15" xfId="0" applyNumberFormat="1" applyFont="1" applyBorder="1"/>
    <xf numFmtId="43" fontId="25" fillId="0" borderId="15" xfId="1" applyFont="1" applyBorder="1"/>
    <xf numFmtId="0" fontId="41" fillId="0" borderId="3" xfId="0" quotePrefix="1" applyFont="1" applyBorder="1" applyAlignment="1">
      <alignment horizontal="center"/>
    </xf>
    <xf numFmtId="0" fontId="42" fillId="0" borderId="0" xfId="0" quotePrefix="1" applyFont="1" applyAlignment="1">
      <alignment horizontal="left"/>
    </xf>
    <xf numFmtId="16" fontId="39" fillId="0" borderId="0" xfId="0" applyNumberFormat="1" applyFont="1"/>
    <xf numFmtId="0" fontId="18" fillId="0" borderId="0" xfId="0" quotePrefix="1" applyFont="1" applyAlignment="1">
      <alignment horizontal="left" indent="1"/>
    </xf>
    <xf numFmtId="0" fontId="26" fillId="0" borderId="0" xfId="0" quotePrefix="1" applyFont="1" applyAlignment="1" applyProtection="1">
      <alignment horizontal="left"/>
      <protection locked="0"/>
    </xf>
    <xf numFmtId="170" fontId="22" fillId="0" borderId="0" xfId="6" quotePrefix="1" applyNumberFormat="1" applyFont="1" applyBorder="1" applyAlignment="1">
      <alignment horizontal="center"/>
    </xf>
    <xf numFmtId="0" fontId="42" fillId="0" borderId="0" xfId="0" quotePrefix="1" applyFont="1" applyAlignment="1">
      <alignment horizontal="left" indent="2"/>
    </xf>
    <xf numFmtId="16" fontId="22" fillId="0" borderId="0" xfId="0" applyNumberFormat="1" applyFont="1" applyAlignment="1">
      <alignment vertical="center"/>
    </xf>
    <xf numFmtId="0" fontId="28" fillId="0" borderId="1" xfId="0" quotePrefix="1" applyFont="1" applyBorder="1" applyAlignment="1">
      <alignment horizontal="center"/>
    </xf>
    <xf numFmtId="164" fontId="30" fillId="0" borderId="0" xfId="6" quotePrefix="1" applyFont="1" applyBorder="1" applyAlignment="1">
      <alignment horizontal="center" wrapText="1"/>
    </xf>
    <xf numFmtId="14" fontId="28" fillId="0" borderId="1" xfId="0" quotePrefix="1" applyNumberFormat="1" applyFont="1" applyBorder="1" applyAlignment="1">
      <alignment horizontal="center"/>
    </xf>
    <xf numFmtId="43" fontId="39" fillId="4" borderId="0" xfId="1" applyFont="1" applyFill="1" applyBorder="1" applyAlignment="1"/>
    <xf numFmtId="43" fontId="39" fillId="0" borderId="0" xfId="1" applyFont="1" applyFill="1" applyBorder="1" applyAlignment="1"/>
    <xf numFmtId="43" fontId="39" fillId="0" borderId="0" xfId="1" applyFont="1" applyFill="1" applyAlignment="1"/>
    <xf numFmtId="43" fontId="39" fillId="0" borderId="0" xfId="1" applyFont="1" applyFill="1" applyBorder="1"/>
    <xf numFmtId="0" fontId="25" fillId="4" borderId="0" xfId="0" applyFont="1" applyFill="1" applyAlignment="1">
      <alignment horizontal="center"/>
    </xf>
    <xf numFmtId="0" fontId="25" fillId="0" borderId="0" xfId="0" quotePrefix="1" applyFont="1" applyAlignment="1">
      <alignment horizontal="left" vertical="top"/>
    </xf>
    <xf numFmtId="17" fontId="28" fillId="0" borderId="0" xfId="0" quotePrefix="1" applyNumberFormat="1" applyFont="1" applyAlignment="1">
      <alignment horizontal="center"/>
    </xf>
    <xf numFmtId="7" fontId="25" fillId="0" borderId="0" xfId="0" quotePrefix="1" applyNumberFormat="1" applyFont="1" applyAlignment="1">
      <alignment horizontal="center"/>
    </xf>
    <xf numFmtId="0" fontId="42" fillId="2" borderId="16" xfId="0" quotePrefix="1" applyFont="1" applyFill="1" applyBorder="1" applyAlignment="1">
      <alignment horizontal="left" indent="1"/>
    </xf>
    <xf numFmtId="0" fontId="18" fillId="2" borderId="16" xfId="0" quotePrefix="1" applyFont="1" applyFill="1" applyBorder="1" applyAlignment="1">
      <alignment horizontal="left" indent="1"/>
    </xf>
    <xf numFmtId="0" fontId="42" fillId="2" borderId="16" xfId="0" quotePrefix="1" applyFont="1" applyFill="1" applyBorder="1" applyAlignment="1">
      <alignment horizontal="left"/>
    </xf>
    <xf numFmtId="0" fontId="25" fillId="0" borderId="0" xfId="0" quotePrefix="1" applyFont="1" applyAlignment="1">
      <alignment horizontal="left" vertical="center" indent="1"/>
    </xf>
    <xf numFmtId="49" fontId="25" fillId="0" borderId="0" xfId="7" quotePrefix="1" applyNumberFormat="1" applyFont="1" applyAlignment="1">
      <alignment horizontal="left" indent="1"/>
    </xf>
    <xf numFmtId="0" fontId="40" fillId="0" borderId="0" xfId="0" applyFont="1" applyAlignment="1">
      <alignment horizontal="left"/>
    </xf>
    <xf numFmtId="0" fontId="26" fillId="0" borderId="0" xfId="0" applyFont="1" applyAlignment="1">
      <alignment vertical="center" wrapText="1"/>
    </xf>
    <xf numFmtId="0" fontId="26" fillId="0" borderId="0" xfId="0" quotePrefix="1" applyFont="1" applyAlignment="1" applyProtection="1">
      <alignment horizontal="left" vertical="center"/>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6" fillId="0" borderId="0" xfId="0" quotePrefix="1" applyFont="1" applyAlignment="1">
      <alignment horizontal="left" vertical="center"/>
    </xf>
    <xf numFmtId="0" fontId="40" fillId="0" borderId="0" xfId="0" quotePrefix="1" applyFont="1" applyAlignment="1">
      <alignment horizontal="left" vertical="center"/>
    </xf>
    <xf numFmtId="0" fontId="40" fillId="0" borderId="0" xfId="0" applyFont="1" applyAlignment="1">
      <alignment vertical="center"/>
    </xf>
    <xf numFmtId="0" fontId="26" fillId="0" borderId="0" xfId="0" quotePrefix="1" applyFont="1" applyAlignment="1" applyProtection="1">
      <alignment horizontal="left" vertical="center" indent="2"/>
      <protection locked="0"/>
    </xf>
    <xf numFmtId="0" fontId="26" fillId="0" borderId="0" xfId="0" applyFont="1" applyAlignment="1">
      <alignment horizontal="left" vertical="center" indent="2"/>
    </xf>
    <xf numFmtId="0" fontId="26" fillId="0" borderId="0" xfId="0" quotePrefix="1" applyFont="1" applyAlignment="1">
      <alignment horizontal="left" vertical="center" indent="2"/>
    </xf>
    <xf numFmtId="0" fontId="40" fillId="0" borderId="0" xfId="0" quotePrefix="1" applyFont="1" applyAlignment="1">
      <alignment horizontal="left" vertical="center" indent="1"/>
    </xf>
    <xf numFmtId="0" fontId="43" fillId="0" borderId="0" xfId="0" applyFont="1"/>
    <xf numFmtId="0" fontId="43" fillId="0" borderId="0" xfId="0" applyFont="1" applyAlignment="1">
      <alignment vertical="center"/>
    </xf>
    <xf numFmtId="0" fontId="40" fillId="0" borderId="0" xfId="0" applyFont="1" applyAlignment="1">
      <alignment horizontal="left" vertical="center"/>
    </xf>
    <xf numFmtId="0" fontId="43" fillId="0" borderId="0" xfId="0" quotePrefix="1" applyFont="1" applyAlignment="1" applyProtection="1">
      <alignment horizontal="left" vertical="center"/>
      <protection locked="0"/>
    </xf>
    <xf numFmtId="0" fontId="43" fillId="0" borderId="0" xfId="0" quotePrefix="1" applyFont="1" applyAlignment="1" applyProtection="1">
      <alignment horizontal="left"/>
      <protection locked="0"/>
    </xf>
    <xf numFmtId="0" fontId="40" fillId="0" borderId="0" xfId="0" quotePrefix="1" applyFont="1" applyAlignment="1" applyProtection="1">
      <alignment horizontal="left"/>
      <protection locked="0"/>
    </xf>
    <xf numFmtId="0" fontId="40" fillId="0" borderId="0" xfId="0" quotePrefix="1" applyFont="1" applyAlignment="1" applyProtection="1">
      <alignment horizontal="left" indent="1"/>
      <protection locked="0"/>
    </xf>
    <xf numFmtId="0" fontId="40" fillId="0" borderId="0" xfId="0" quotePrefix="1" applyFont="1" applyAlignment="1" applyProtection="1">
      <alignment horizontal="left" vertical="center"/>
      <protection locked="0"/>
    </xf>
    <xf numFmtId="0" fontId="40" fillId="0" borderId="0" xfId="0" quotePrefix="1" applyFont="1" applyAlignment="1" applyProtection="1">
      <alignment horizontal="left" vertical="center" indent="1"/>
      <protection locked="0"/>
    </xf>
    <xf numFmtId="41" fontId="38" fillId="0" borderId="15" xfId="8" applyNumberFormat="1" applyFont="1" applyBorder="1" applyAlignment="1">
      <alignment horizontal="center"/>
    </xf>
    <xf numFmtId="41" fontId="38" fillId="0" borderId="15" xfId="8" quotePrefix="1" applyNumberFormat="1" applyFont="1" applyBorder="1" applyAlignment="1">
      <alignment horizontal="center"/>
    </xf>
    <xf numFmtId="41" fontId="38" fillId="0" borderId="15" xfId="2" quotePrefix="1" applyNumberFormat="1" applyFont="1" applyFill="1" applyBorder="1" applyAlignment="1">
      <alignment horizontal="center"/>
    </xf>
    <xf numFmtId="41" fontId="38" fillId="0" borderId="15" xfId="2" applyNumberFormat="1" applyFont="1" applyFill="1" applyBorder="1" applyAlignment="1">
      <alignment horizontal="center"/>
    </xf>
    <xf numFmtId="41" fontId="25" fillId="0" borderId="0" xfId="0" applyNumberFormat="1" applyFont="1" applyAlignment="1">
      <alignment horizontal="center"/>
    </xf>
    <xf numFmtId="0" fontId="26" fillId="0" borderId="0" xfId="0" quotePrefix="1" applyFont="1" applyAlignment="1">
      <alignment horizontal="left"/>
    </xf>
    <xf numFmtId="179" fontId="26" fillId="0" borderId="14" xfId="0" applyNumberFormat="1" applyFont="1" applyBorder="1" applyAlignment="1">
      <alignment horizontal="center"/>
    </xf>
    <xf numFmtId="179" fontId="26" fillId="0" borderId="4" xfId="0" applyNumberFormat="1" applyFont="1" applyBorder="1" applyAlignment="1">
      <alignment horizontal="center"/>
    </xf>
    <xf numFmtId="179" fontId="25" fillId="0" borderId="0" xfId="0" applyNumberFormat="1" applyFont="1" applyAlignment="1">
      <alignment horizontal="center"/>
    </xf>
    <xf numFmtId="0" fontId="26" fillId="8" borderId="0" xfId="0" applyFont="1" applyFill="1"/>
    <xf numFmtId="179" fontId="26" fillId="8" borderId="0" xfId="0" applyNumberFormat="1" applyFont="1" applyFill="1" applyAlignment="1">
      <alignment horizontal="center"/>
    </xf>
    <xf numFmtId="0" fontId="25" fillId="0" borderId="0" xfId="0" applyFont="1" applyAlignment="1">
      <alignment horizontal="left" indent="1"/>
    </xf>
    <xf numFmtId="180" fontId="25" fillId="0" borderId="0" xfId="0" applyNumberFormat="1" applyFont="1" applyAlignment="1">
      <alignment horizontal="center"/>
    </xf>
    <xf numFmtId="0" fontId="26" fillId="9" borderId="0" xfId="0" applyFont="1" applyFill="1"/>
    <xf numFmtId="179" fontId="26" fillId="9" borderId="0" xfId="0" applyNumberFormat="1" applyFont="1" applyFill="1" applyAlignment="1">
      <alignment horizontal="center"/>
    </xf>
    <xf numFmtId="0" fontId="26" fillId="10" borderId="0" xfId="0" applyFont="1" applyFill="1"/>
    <xf numFmtId="179" fontId="26" fillId="10" borderId="0" xfId="0" applyNumberFormat="1" applyFont="1" applyFill="1" applyAlignment="1">
      <alignment horizontal="center"/>
    </xf>
    <xf numFmtId="179" fontId="41" fillId="0" borderId="0" xfId="0" applyNumberFormat="1" applyFont="1" applyAlignment="1">
      <alignment horizontal="center"/>
    </xf>
    <xf numFmtId="180" fontId="38" fillId="0" borderId="0" xfId="0" applyNumberFormat="1" applyFont="1" applyAlignment="1">
      <alignment horizontal="center"/>
    </xf>
    <xf numFmtId="179" fontId="38" fillId="0" borderId="0" xfId="0" applyNumberFormat="1" applyFont="1" applyAlignment="1">
      <alignment horizontal="center"/>
    </xf>
    <xf numFmtId="179" fontId="25" fillId="0" borderId="0" xfId="0" quotePrefix="1" applyNumberFormat="1" applyFont="1" applyAlignment="1">
      <alignment horizontal="center"/>
    </xf>
    <xf numFmtId="0" fontId="26" fillId="6" borderId="0" xfId="0" applyFont="1" applyFill="1"/>
    <xf numFmtId="0" fontId="25" fillId="6" borderId="0" xfId="0" applyFont="1" applyFill="1"/>
    <xf numFmtId="179" fontId="25" fillId="6" borderId="0" xfId="0" applyNumberFormat="1" applyFont="1" applyFill="1" applyAlignment="1">
      <alignment horizontal="center"/>
    </xf>
    <xf numFmtId="0" fontId="26" fillId="11" borderId="0" xfId="0" quotePrefix="1" applyFont="1" applyFill="1" applyAlignment="1">
      <alignment horizontal="left"/>
    </xf>
    <xf numFmtId="0" fontId="25" fillId="11" borderId="0" xfId="0" applyFont="1" applyFill="1"/>
    <xf numFmtId="179" fontId="25" fillId="11" borderId="0" xfId="0" applyNumberFormat="1" applyFont="1" applyFill="1" applyAlignment="1">
      <alignment horizontal="center"/>
    </xf>
    <xf numFmtId="0" fontId="26" fillId="12" borderId="0" xfId="0" quotePrefix="1" applyFont="1" applyFill="1" applyAlignment="1">
      <alignment horizontal="left"/>
    </xf>
    <xf numFmtId="0" fontId="25" fillId="12" borderId="0" xfId="0" applyFont="1" applyFill="1"/>
    <xf numFmtId="179" fontId="25" fillId="12" borderId="0" xfId="0" applyNumberFormat="1" applyFont="1" applyFill="1" applyAlignment="1">
      <alignment horizontal="center"/>
    </xf>
    <xf numFmtId="178" fontId="25" fillId="0" borderId="0" xfId="0" applyNumberFormat="1" applyFont="1" applyAlignment="1">
      <alignment horizontal="center"/>
    </xf>
    <xf numFmtId="1" fontId="25" fillId="0" borderId="0" xfId="7" quotePrefix="1" applyNumberFormat="1" applyFont="1" applyAlignment="1">
      <alignment horizontal="right"/>
    </xf>
    <xf numFmtId="43" fontId="25" fillId="0" borderId="0" xfId="7" applyNumberFormat="1" applyFont="1" applyAlignment="1">
      <alignment vertical="center"/>
    </xf>
    <xf numFmtId="164" fontId="22" fillId="2" borderId="0" xfId="6" quotePrefix="1" applyFont="1" applyFill="1" applyBorder="1" applyAlignment="1">
      <alignment horizontal="center" wrapText="1"/>
    </xf>
    <xf numFmtId="164" fontId="22" fillId="0" borderId="0" xfId="6" quotePrefix="1" applyFont="1" applyBorder="1" applyAlignment="1">
      <alignment horizontal="center"/>
    </xf>
    <xf numFmtId="16" fontId="26" fillId="0" borderId="0" xfId="0" applyNumberFormat="1" applyFont="1" applyAlignment="1">
      <alignment horizontal="left"/>
    </xf>
    <xf numFmtId="49" fontId="26" fillId="2" borderId="7" xfId="0" quotePrefix="1" applyNumberFormat="1" applyFont="1" applyFill="1" applyBorder="1" applyAlignment="1">
      <alignment horizontal="left"/>
    </xf>
    <xf numFmtId="49" fontId="41" fillId="2" borderId="0" xfId="0" quotePrefix="1" applyNumberFormat="1" applyFont="1" applyFill="1" applyAlignment="1">
      <alignment horizontal="center"/>
    </xf>
    <xf numFmtId="49" fontId="26" fillId="2" borderId="2" xfId="0" applyNumberFormat="1" applyFont="1" applyFill="1" applyBorder="1"/>
    <xf numFmtId="0" fontId="26" fillId="13" borderId="0" xfId="0" quotePrefix="1" applyFont="1" applyFill="1" applyAlignment="1">
      <alignment horizontal="left"/>
    </xf>
    <xf numFmtId="0" fontId="25" fillId="13" borderId="0" xfId="0" applyFont="1" applyFill="1"/>
    <xf numFmtId="179" fontId="25" fillId="13" borderId="0" xfId="0" applyNumberFormat="1" applyFont="1" applyFill="1" applyAlignment="1">
      <alignment horizontal="center"/>
    </xf>
    <xf numFmtId="180" fontId="25" fillId="0" borderId="0" xfId="0" quotePrefix="1" applyNumberFormat="1" applyFont="1" applyAlignment="1">
      <alignment horizontal="center"/>
    </xf>
    <xf numFmtId="0" fontId="25" fillId="0" borderId="0" xfId="0" quotePrefix="1" applyFont="1" applyAlignment="1">
      <alignment vertical="center"/>
    </xf>
    <xf numFmtId="0" fontId="25" fillId="4" borderId="0" xfId="0" quotePrefix="1" applyFont="1" applyFill="1" applyAlignment="1">
      <alignment horizontal="left" vertical="center" indent="1"/>
    </xf>
    <xf numFmtId="0" fontId="44" fillId="2" borderId="16" xfId="0" applyFont="1" applyFill="1" applyBorder="1"/>
    <xf numFmtId="1" fontId="25" fillId="4" borderId="0" xfId="7" applyNumberFormat="1" applyFont="1" applyFill="1" applyAlignment="1">
      <alignment horizontal="right" indent="1"/>
    </xf>
    <xf numFmtId="1" fontId="25" fillId="0" borderId="0" xfId="7" quotePrefix="1" applyNumberFormat="1" applyFont="1" applyAlignment="1">
      <alignment horizontal="right" indent="1"/>
    </xf>
    <xf numFmtId="0" fontId="30" fillId="4" borderId="4" xfId="0" applyFont="1" applyFill="1" applyBorder="1" applyAlignment="1">
      <alignment horizontal="center"/>
    </xf>
    <xf numFmtId="1" fontId="25" fillId="4" borderId="0" xfId="2" applyNumberFormat="1" applyFont="1" applyFill="1" applyBorder="1" applyAlignment="1">
      <alignment horizontal="center"/>
    </xf>
    <xf numFmtId="1" fontId="25" fillId="4" borderId="0" xfId="2" quotePrefix="1" applyNumberFormat="1" applyFont="1" applyFill="1" applyBorder="1" applyAlignment="1">
      <alignment horizontal="left"/>
    </xf>
    <xf numFmtId="49" fontId="26" fillId="2" borderId="20" xfId="0" quotePrefix="1" applyNumberFormat="1" applyFont="1" applyFill="1" applyBorder="1" applyAlignment="1">
      <alignment horizontal="left" indent="1"/>
    </xf>
    <xf numFmtId="0" fontId="26" fillId="14" borderId="0" xfId="0" quotePrefix="1" applyFont="1" applyFill="1" applyAlignment="1">
      <alignment horizontal="left"/>
    </xf>
    <xf numFmtId="0" fontId="25" fillId="14" borderId="0" xfId="0" applyFont="1" applyFill="1"/>
    <xf numFmtId="179" fontId="25" fillId="14" borderId="0" xfId="0" applyNumberFormat="1" applyFont="1" applyFill="1" applyAlignment="1">
      <alignment horizontal="center"/>
    </xf>
    <xf numFmtId="10" fontId="25" fillId="0" borderId="0" xfId="10" applyNumberFormat="1" applyFont="1" applyBorder="1"/>
    <xf numFmtId="0" fontId="26" fillId="0" borderId="14" xfId="0" quotePrefix="1" applyFont="1" applyBorder="1" applyAlignment="1">
      <alignment horizontal="center"/>
    </xf>
    <xf numFmtId="0" fontId="26" fillId="2" borderId="7" xfId="0" quotePrefix="1" applyFont="1" applyFill="1" applyBorder="1" applyAlignment="1">
      <alignment horizontal="left" indent="1"/>
    </xf>
    <xf numFmtId="0" fontId="22" fillId="2" borderId="0" xfId="0" quotePrefix="1" applyFont="1" applyFill="1" applyAlignment="1">
      <alignment horizontal="left"/>
    </xf>
    <xf numFmtId="0" fontId="24" fillId="2" borderId="0" xfId="0" applyFont="1" applyFill="1" applyAlignment="1">
      <alignment horizontal="left"/>
    </xf>
    <xf numFmtId="0" fontId="26" fillId="0" borderId="0" xfId="0" quotePrefix="1" applyFont="1" applyAlignment="1" applyProtection="1">
      <alignment horizontal="left" indent="2"/>
      <protection locked="0"/>
    </xf>
    <xf numFmtId="0" fontId="26" fillId="0" borderId="0" xfId="0" applyFont="1" applyProtection="1">
      <protection locked="0"/>
    </xf>
    <xf numFmtId="0" fontId="24" fillId="2" borderId="0" xfId="0" quotePrefix="1" applyFont="1" applyFill="1" applyAlignment="1">
      <alignment horizontal="left"/>
    </xf>
    <xf numFmtId="164" fontId="45" fillId="0" borderId="1" xfId="6" quotePrefix="1" applyFont="1" applyBorder="1" applyAlignment="1">
      <alignment horizontal="center"/>
    </xf>
    <xf numFmtId="0" fontId="50" fillId="0" borderId="0" xfId="0" applyFont="1" applyAlignment="1">
      <alignment horizontal="left" indent="2"/>
    </xf>
    <xf numFmtId="0" fontId="50" fillId="0" borderId="0" xfId="0" quotePrefix="1" applyFont="1" applyAlignment="1">
      <alignment horizontal="left" vertical="center" indent="2"/>
    </xf>
    <xf numFmtId="0" fontId="22" fillId="0" borderId="0" xfId="0" applyFont="1" applyAlignment="1">
      <alignment horizontal="left" vertical="center" indent="2"/>
    </xf>
    <xf numFmtId="169" fontId="27" fillId="0" borderId="0" xfId="0" applyNumberFormat="1" applyFont="1" applyAlignment="1">
      <alignment horizontal="left" vertical="center" indent="2"/>
    </xf>
    <xf numFmtId="2" fontId="22" fillId="0" borderId="0" xfId="0" applyNumberFormat="1" applyFont="1" applyAlignment="1">
      <alignment horizontal="left" vertical="center" indent="2"/>
    </xf>
    <xf numFmtId="43" fontId="22" fillId="0" borderId="0" xfId="1" applyFont="1" applyBorder="1" applyAlignment="1">
      <alignment horizontal="left" vertical="center" indent="2"/>
    </xf>
    <xf numFmtId="0" fontId="22" fillId="2" borderId="0" xfId="0" applyFont="1" applyFill="1" applyAlignment="1">
      <alignment horizontal="left" vertical="center" indent="2"/>
    </xf>
    <xf numFmtId="169" fontId="27" fillId="2" borderId="0" xfId="0" applyNumberFormat="1" applyFont="1" applyFill="1" applyAlignment="1">
      <alignment horizontal="left" vertical="center" indent="2"/>
    </xf>
    <xf numFmtId="2" fontId="22" fillId="2" borderId="0" xfId="0" applyNumberFormat="1" applyFont="1" applyFill="1" applyAlignment="1">
      <alignment horizontal="left" vertical="center" indent="2"/>
    </xf>
    <xf numFmtId="0" fontId="50" fillId="0" borderId="0" xfId="0" applyFont="1" applyAlignment="1">
      <alignment horizontal="left" vertical="top" indent="2"/>
    </xf>
    <xf numFmtId="0" fontId="22" fillId="0" borderId="0" xfId="0" quotePrefix="1" applyFont="1"/>
    <xf numFmtId="44" fontId="22" fillId="0" borderId="0" xfId="1" applyNumberFormat="1" applyFont="1" applyAlignment="1">
      <alignment horizontal="right"/>
    </xf>
    <xf numFmtId="10" fontId="22" fillId="0" borderId="0" xfId="10" applyNumberFormat="1" applyFont="1" applyAlignment="1">
      <alignment horizontal="center"/>
    </xf>
    <xf numFmtId="43" fontId="22" fillId="2" borderId="0" xfId="1" applyFont="1" applyFill="1" applyBorder="1" applyAlignment="1"/>
    <xf numFmtId="0" fontId="50" fillId="2" borderId="0" xfId="0" quotePrefix="1" applyFont="1" applyFill="1" applyAlignment="1">
      <alignment horizontal="left" vertical="center" indent="2"/>
    </xf>
    <xf numFmtId="43" fontId="22" fillId="2" borderId="0" xfId="1" applyFont="1" applyFill="1" applyBorder="1" applyAlignment="1">
      <alignment horizontal="left" vertical="center" indent="2"/>
    </xf>
    <xf numFmtId="0" fontId="50" fillId="2" borderId="0" xfId="0" quotePrefix="1" applyFont="1" applyFill="1" applyAlignment="1">
      <alignment horizontal="left" vertical="top" indent="2"/>
    </xf>
    <xf numFmtId="0" fontId="50" fillId="2" borderId="0" xfId="0" applyFont="1" applyFill="1" applyAlignment="1">
      <alignment horizontal="left" indent="2"/>
    </xf>
    <xf numFmtId="0" fontId="22" fillId="2" borderId="0" xfId="0" quotePrefix="1" applyFont="1" applyFill="1"/>
    <xf numFmtId="44" fontId="22" fillId="2" borderId="0" xfId="1" applyNumberFormat="1" applyFont="1" applyFill="1" applyAlignment="1">
      <alignment horizontal="right"/>
    </xf>
    <xf numFmtId="2" fontId="22" fillId="2" borderId="0" xfId="0" quotePrefix="1" applyNumberFormat="1" applyFont="1" applyFill="1" applyAlignment="1">
      <alignment horizontal="center"/>
    </xf>
    <xf numFmtId="10" fontId="22" fillId="2" borderId="0" xfId="10" applyNumberFormat="1" applyFont="1" applyFill="1" applyAlignment="1">
      <alignment horizontal="center"/>
    </xf>
    <xf numFmtId="43" fontId="22" fillId="2" borderId="5" xfId="1" applyFont="1" applyFill="1" applyBorder="1" applyAlignment="1"/>
    <xf numFmtId="0" fontId="50" fillId="2" borderId="0" xfId="0" applyFont="1" applyFill="1" applyAlignment="1">
      <alignment horizontal="left" vertical="top" indent="2"/>
    </xf>
    <xf numFmtId="0" fontId="45" fillId="0" borderId="0" xfId="0" applyFont="1"/>
    <xf numFmtId="0" fontId="45" fillId="2" borderId="0" xfId="0" applyFont="1" applyFill="1"/>
    <xf numFmtId="0" fontId="45" fillId="2" borderId="0" xfId="0" quotePrefix="1" applyFont="1" applyFill="1" applyAlignment="1">
      <alignment horizontal="left"/>
    </xf>
    <xf numFmtId="0" fontId="45" fillId="0" borderId="0" xfId="0" quotePrefix="1" applyFont="1" applyAlignment="1">
      <alignment horizontal="left"/>
    </xf>
    <xf numFmtId="43" fontId="22" fillId="0" borderId="0" xfId="1" applyFont="1"/>
    <xf numFmtId="41" fontId="22" fillId="2" borderId="1" xfId="0" applyNumberFormat="1" applyFont="1" applyFill="1" applyBorder="1"/>
    <xf numFmtId="41" fontId="22" fillId="2" borderId="0" xfId="0" applyNumberFormat="1" applyFont="1" applyFill="1"/>
    <xf numFmtId="166" fontId="22" fillId="2" borderId="0" xfId="0" applyNumberFormat="1" applyFont="1" applyFill="1" applyAlignment="1">
      <alignment horizontal="center"/>
    </xf>
    <xf numFmtId="166" fontId="22" fillId="0" borderId="0" xfId="0" applyNumberFormat="1" applyFont="1" applyAlignment="1">
      <alignment horizontal="center"/>
    </xf>
    <xf numFmtId="0" fontId="13" fillId="0" borderId="0" xfId="0" quotePrefix="1" applyFont="1" applyAlignment="1">
      <alignment horizontal="left"/>
    </xf>
    <xf numFmtId="43" fontId="24" fillId="0" borderId="0" xfId="1" applyFont="1" applyFill="1" applyBorder="1" applyAlignment="1"/>
    <xf numFmtId="0" fontId="24" fillId="0" borderId="0" xfId="0" applyFont="1" applyAlignment="1">
      <alignment horizontal="right"/>
    </xf>
    <xf numFmtId="7" fontId="52" fillId="0" borderId="0" xfId="0" quotePrefix="1" applyNumberFormat="1" applyFont="1" applyAlignment="1">
      <alignment horizontal="center"/>
    </xf>
    <xf numFmtId="17" fontId="52" fillId="0" borderId="0" xfId="0" quotePrefix="1" applyNumberFormat="1" applyFont="1" applyAlignment="1">
      <alignment horizontal="center"/>
    </xf>
    <xf numFmtId="7" fontId="52" fillId="0" borderId="0" xfId="0" applyNumberFormat="1" applyFont="1" applyAlignment="1">
      <alignment horizontal="center"/>
    </xf>
    <xf numFmtId="2" fontId="24" fillId="0" borderId="0" xfId="0" quotePrefix="1" applyNumberFormat="1" applyFont="1" applyAlignment="1">
      <alignment horizontal="center"/>
    </xf>
    <xf numFmtId="0" fontId="53" fillId="0" borderId="0" xfId="0" quotePrefix="1" applyFont="1" applyAlignment="1">
      <alignment horizontal="center"/>
    </xf>
    <xf numFmtId="0" fontId="22" fillId="0" borderId="0" xfId="0" quotePrefix="1" applyFont="1" applyAlignment="1">
      <alignment horizontal="left" wrapText="1"/>
    </xf>
    <xf numFmtId="2" fontId="47" fillId="0" borderId="0" xfId="0" applyNumberFormat="1" applyFont="1" applyAlignment="1">
      <alignment horizontal="left" indent="3"/>
    </xf>
    <xf numFmtId="2" fontId="32" fillId="2" borderId="0" xfId="0" applyNumberFormat="1" applyFont="1" applyFill="1" applyAlignment="1">
      <alignment horizontal="left"/>
    </xf>
    <xf numFmtId="0" fontId="22" fillId="2" borderId="0" xfId="0" quotePrefix="1" applyFont="1" applyFill="1" applyAlignment="1">
      <alignment horizontal="left" wrapText="1"/>
    </xf>
    <xf numFmtId="7" fontId="28" fillId="0" borderId="1" xfId="0" quotePrefix="1" applyNumberFormat="1" applyFont="1" applyBorder="1" applyAlignment="1">
      <alignment horizontal="center"/>
    </xf>
    <xf numFmtId="43" fontId="39" fillId="0" borderId="0" xfId="7" applyNumberFormat="1" applyFont="1"/>
    <xf numFmtId="49" fontId="25" fillId="0" borderId="0" xfId="0" quotePrefix="1" applyNumberFormat="1" applyFont="1" applyFill="1" applyAlignment="1">
      <alignment horizontal="left" indent="1"/>
    </xf>
    <xf numFmtId="0" fontId="26" fillId="2" borderId="7" xfId="0" quotePrefix="1" applyFont="1" applyFill="1" applyBorder="1" applyAlignment="1">
      <alignment horizontal="left"/>
    </xf>
    <xf numFmtId="0" fontId="22" fillId="0" borderId="1" xfId="0" quotePrefix="1" applyFont="1" applyBorder="1" applyAlignment="1">
      <alignment horizontal="center"/>
    </xf>
    <xf numFmtId="0" fontId="22" fillId="0" borderId="0" xfId="0" applyFont="1" applyAlignment="1">
      <alignment horizontal="left"/>
    </xf>
    <xf numFmtId="0" fontId="22" fillId="0" borderId="1" xfId="0" applyFont="1" applyBorder="1" applyAlignment="1">
      <alignment horizontal="center"/>
    </xf>
    <xf numFmtId="0" fontId="22" fillId="0" borderId="0" xfId="0" quotePrefix="1" applyFont="1" applyAlignment="1">
      <alignment horizontal="left"/>
    </xf>
    <xf numFmtId="0" fontId="22" fillId="0" borderId="0" xfId="0" applyFont="1" applyAlignment="1">
      <alignment horizontal="center"/>
    </xf>
    <xf numFmtId="0" fontId="22" fillId="0" borderId="0" xfId="0" quotePrefix="1" applyFont="1" applyAlignment="1">
      <alignment horizontal="center"/>
    </xf>
    <xf numFmtId="0" fontId="22" fillId="0" borderId="0" xfId="0" applyFont="1" applyAlignment="1">
      <alignment horizontal="right"/>
    </xf>
    <xf numFmtId="0" fontId="22" fillId="2" borderId="0" xfId="0" applyFont="1" applyFill="1" applyAlignment="1">
      <alignment horizontal="left"/>
    </xf>
    <xf numFmtId="166" fontId="27" fillId="2" borderId="0" xfId="0" applyNumberFormat="1" applyFont="1" applyFill="1" applyAlignment="1">
      <alignment horizontal="left"/>
    </xf>
    <xf numFmtId="0" fontId="22" fillId="2" borderId="0" xfId="0" applyFont="1" applyFill="1" applyAlignment="1">
      <alignment horizontal="right"/>
    </xf>
    <xf numFmtId="0" fontId="22" fillId="2" borderId="0" xfId="0" applyFont="1" applyFill="1" applyAlignment="1">
      <alignment horizontal="center"/>
    </xf>
    <xf numFmtId="0" fontId="22" fillId="2" borderId="1" xfId="0" quotePrefix="1" applyFont="1" applyFill="1" applyBorder="1" applyAlignment="1">
      <alignment horizontal="center"/>
    </xf>
    <xf numFmtId="0" fontId="22" fillId="0" borderId="0" xfId="0" quotePrefix="1" applyFont="1" applyAlignment="1">
      <alignment horizontal="left"/>
    </xf>
    <xf numFmtId="0" fontId="22" fillId="2" borderId="0" xfId="0" applyFont="1" applyFill="1" applyAlignment="1">
      <alignment horizontal="left"/>
    </xf>
    <xf numFmtId="0" fontId="22" fillId="2" borderId="0" xfId="0" quotePrefix="1" applyFont="1" applyFill="1" applyAlignment="1">
      <alignment horizontal="left"/>
    </xf>
    <xf numFmtId="0" fontId="54" fillId="0" borderId="0" xfId="0" quotePrefix="1" applyFont="1" applyAlignment="1">
      <alignment horizontal="center"/>
    </xf>
    <xf numFmtId="0" fontId="54" fillId="0" borderId="1" xfId="0" quotePrefix="1" applyFont="1" applyBorder="1" applyAlignment="1">
      <alignment horizontal="center"/>
    </xf>
    <xf numFmtId="7" fontId="22" fillId="0" borderId="0" xfId="0" quotePrefix="1" applyNumberFormat="1" applyFont="1" applyAlignment="1">
      <alignment horizontal="center"/>
    </xf>
    <xf numFmtId="170" fontId="54" fillId="6" borderId="0" xfId="6" applyNumberFormat="1" applyFont="1" applyFill="1" applyBorder="1" applyAlignment="1"/>
    <xf numFmtId="0" fontId="24" fillId="0" borderId="0" xfId="0" applyFont="1" applyFill="1" applyBorder="1"/>
    <xf numFmtId="0" fontId="22" fillId="2" borderId="1" xfId="0" applyFont="1" applyFill="1" applyBorder="1"/>
    <xf numFmtId="170" fontId="54" fillId="2" borderId="1" xfId="6" applyNumberFormat="1" applyFont="1" applyFill="1" applyBorder="1" applyAlignment="1"/>
    <xf numFmtId="0" fontId="25" fillId="2" borderId="0" xfId="0" quotePrefix="1" applyFont="1" applyFill="1" applyAlignment="1">
      <alignment horizontal="left"/>
    </xf>
    <xf numFmtId="0" fontId="24" fillId="2" borderId="0" xfId="0" quotePrefix="1" applyFont="1" applyFill="1" applyAlignment="1">
      <alignment horizontal="center"/>
    </xf>
    <xf numFmtId="166" fontId="27" fillId="2" borderId="0" xfId="0" applyNumberFormat="1" applyFont="1" applyFill="1" applyAlignment="1">
      <alignment horizontal="center"/>
    </xf>
    <xf numFmtId="7" fontId="24" fillId="2" borderId="0" xfId="0" quotePrefix="1" applyNumberFormat="1" applyFont="1" applyFill="1" applyBorder="1" applyAlignment="1">
      <alignment horizontal="center"/>
    </xf>
    <xf numFmtId="17" fontId="24" fillId="2" borderId="0" xfId="0" quotePrefix="1" applyNumberFormat="1" applyFont="1" applyFill="1" applyBorder="1" applyAlignment="1">
      <alignment horizontal="center"/>
    </xf>
    <xf numFmtId="7" fontId="24" fillId="2" borderId="0" xfId="0" applyNumberFormat="1" applyFont="1" applyFill="1" applyBorder="1" applyAlignment="1">
      <alignment horizontal="center"/>
    </xf>
    <xf numFmtId="0" fontId="24" fillId="2" borderId="0" xfId="0" quotePrefix="1" applyFont="1" applyFill="1" applyBorder="1" applyAlignment="1">
      <alignment horizontal="center"/>
    </xf>
    <xf numFmtId="169" fontId="22" fillId="2" borderId="0" xfId="0" quotePrefix="1" applyNumberFormat="1" applyFont="1" applyFill="1" applyBorder="1" applyAlignment="1">
      <alignment horizontal="center"/>
    </xf>
    <xf numFmtId="2" fontId="22" fillId="2" borderId="0" xfId="0" quotePrefix="1" applyNumberFormat="1" applyFont="1" applyFill="1" applyBorder="1" applyAlignment="1">
      <alignment horizontal="center"/>
    </xf>
    <xf numFmtId="0" fontId="54" fillId="2" borderId="1" xfId="0" quotePrefix="1" applyFont="1" applyFill="1" applyBorder="1" applyAlignment="1">
      <alignment horizontal="center"/>
    </xf>
    <xf numFmtId="44" fontId="22" fillId="2" borderId="8" xfId="0" applyNumberFormat="1" applyFont="1" applyFill="1" applyBorder="1"/>
    <xf numFmtId="164" fontId="22" fillId="2" borderId="5" xfId="6" applyNumberFormat="1" applyFont="1" applyFill="1" applyBorder="1" applyAlignment="1"/>
    <xf numFmtId="164" fontId="22" fillId="2" borderId="1" xfId="6" applyNumberFormat="1" applyFont="1" applyFill="1" applyBorder="1" applyAlignment="1"/>
    <xf numFmtId="164" fontId="22" fillId="2" borderId="1" xfId="0" applyNumberFormat="1" applyFont="1" applyFill="1" applyBorder="1"/>
    <xf numFmtId="164" fontId="22" fillId="2" borderId="6" xfId="6" applyNumberFormat="1" applyFont="1" applyFill="1" applyBorder="1" applyAlignment="1"/>
    <xf numFmtId="164" fontId="22" fillId="2" borderId="3" xfId="6" applyNumberFormat="1" applyFont="1" applyFill="1" applyBorder="1" applyAlignment="1"/>
    <xf numFmtId="164" fontId="22" fillId="2" borderId="0" xfId="6" applyNumberFormat="1" applyFont="1" applyFill="1" applyBorder="1" applyAlignment="1"/>
    <xf numFmtId="164" fontId="22" fillId="2" borderId="0" xfId="0" applyNumberFormat="1" applyFont="1" applyFill="1"/>
    <xf numFmtId="4" fontId="22" fillId="2" borderId="1" xfId="0" applyNumberFormat="1" applyFont="1" applyFill="1" applyBorder="1"/>
    <xf numFmtId="164" fontId="22" fillId="2" borderId="8" xfId="0" applyNumberFormat="1" applyFont="1" applyFill="1" applyBorder="1"/>
    <xf numFmtId="0" fontId="55" fillId="0" borderId="0" xfId="0" quotePrefix="1" applyFont="1" applyAlignment="1">
      <alignment horizontal="left" vertical="center" indent="2"/>
    </xf>
    <xf numFmtId="0" fontId="55" fillId="0" borderId="0" xfId="0" applyFont="1" applyAlignment="1">
      <alignment horizontal="left" vertical="top" indent="2"/>
    </xf>
    <xf numFmtId="0" fontId="55" fillId="0" borderId="0" xfId="0" quotePrefix="1" applyFont="1" applyAlignment="1">
      <alignment horizontal="left" vertical="top" indent="2"/>
    </xf>
    <xf numFmtId="0" fontId="22" fillId="0" borderId="1" xfId="0" quotePrefix="1" applyFont="1" applyBorder="1" applyAlignment="1">
      <alignment horizontal="center"/>
    </xf>
    <xf numFmtId="0" fontId="22" fillId="0" borderId="0" xfId="0" applyFont="1" applyAlignment="1">
      <alignment horizontal="left"/>
    </xf>
    <xf numFmtId="2" fontId="22" fillId="0" borderId="0" xfId="0" applyNumberFormat="1" applyFont="1" applyAlignment="1">
      <alignment horizontal="center"/>
    </xf>
    <xf numFmtId="0" fontId="22" fillId="0" borderId="1" xfId="0" applyFont="1" applyBorder="1" applyAlignment="1">
      <alignment horizontal="center"/>
    </xf>
    <xf numFmtId="0" fontId="22" fillId="0" borderId="0" xfId="0" quotePrefix="1" applyFont="1" applyAlignment="1">
      <alignment horizontal="left"/>
    </xf>
    <xf numFmtId="0" fontId="22" fillId="0" borderId="0" xfId="0" applyFont="1" applyAlignment="1">
      <alignment horizontal="center"/>
    </xf>
    <xf numFmtId="0" fontId="22" fillId="0" borderId="0" xfId="0" quotePrefix="1" applyFont="1" applyAlignment="1">
      <alignment horizontal="center"/>
    </xf>
    <xf numFmtId="0" fontId="22" fillId="0" borderId="0" xfId="0" applyFont="1" applyAlignment="1">
      <alignment horizontal="right"/>
    </xf>
    <xf numFmtId="0" fontId="56" fillId="0" borderId="0" xfId="0" applyFont="1" applyAlignment="1">
      <alignment horizontal="left" vertical="center"/>
    </xf>
    <xf numFmtId="0" fontId="58" fillId="0" borderId="0" xfId="0" applyFont="1" applyAlignment="1">
      <alignment horizontal="left" vertical="center" wrapText="1"/>
    </xf>
    <xf numFmtId="49" fontId="25" fillId="0" borderId="0" xfId="0" quotePrefix="1" applyNumberFormat="1" applyFont="1" applyFill="1"/>
    <xf numFmtId="49" fontId="41" fillId="2" borderId="0" xfId="0" quotePrefix="1" applyNumberFormat="1" applyFont="1" applyFill="1" applyBorder="1" applyAlignment="1">
      <alignment horizontal="center"/>
    </xf>
    <xf numFmtId="0" fontId="41" fillId="2" borderId="26" xfId="0" applyFont="1" applyFill="1" applyBorder="1"/>
    <xf numFmtId="0" fontId="41" fillId="2" borderId="18" xfId="0" applyFont="1" applyFill="1" applyBorder="1"/>
    <xf numFmtId="0" fontId="26" fillId="2" borderId="19" xfId="0" applyFont="1" applyFill="1" applyBorder="1"/>
    <xf numFmtId="0" fontId="42" fillId="2" borderId="17" xfId="0" quotePrefix="1" applyFont="1" applyFill="1" applyBorder="1" applyAlignment="1">
      <alignment horizontal="left" indent="2"/>
    </xf>
    <xf numFmtId="0" fontId="26" fillId="16" borderId="0" xfId="0" quotePrefix="1" applyFont="1" applyFill="1" applyAlignment="1">
      <alignment horizontal="left"/>
    </xf>
    <xf numFmtId="0" fontId="25" fillId="16" borderId="0" xfId="0" applyFont="1" applyFill="1"/>
    <xf numFmtId="179" fontId="25" fillId="16" borderId="0" xfId="0" applyNumberFormat="1" applyFont="1" applyFill="1" applyAlignment="1">
      <alignment horizontal="center"/>
    </xf>
    <xf numFmtId="0" fontId="25" fillId="0" borderId="0" xfId="0" quotePrefix="1" applyFont="1" applyFill="1" applyAlignment="1">
      <alignment horizontal="left" vertical="center" indent="1"/>
    </xf>
    <xf numFmtId="43" fontId="25" fillId="0" borderId="0" xfId="0" applyNumberFormat="1" applyFont="1" applyBorder="1"/>
    <xf numFmtId="0" fontId="26" fillId="2" borderId="0" xfId="0" quotePrefix="1" applyFont="1" applyFill="1" applyBorder="1" applyAlignment="1">
      <alignment vertical="top" wrapText="1"/>
    </xf>
    <xf numFmtId="0" fontId="26" fillId="2" borderId="18" xfId="0" quotePrefix="1" applyFont="1" applyFill="1" applyBorder="1" applyAlignment="1">
      <alignment vertical="top" wrapText="1"/>
    </xf>
    <xf numFmtId="43" fontId="42" fillId="0" borderId="0" xfId="0" quotePrefix="1" applyNumberFormat="1" applyFont="1" applyAlignment="1">
      <alignment horizontal="left"/>
    </xf>
    <xf numFmtId="0" fontId="10" fillId="0" borderId="0" xfId="12"/>
    <xf numFmtId="0" fontId="10" fillId="0" borderId="0" xfId="12" applyAlignment="1">
      <alignment horizontal="center"/>
    </xf>
    <xf numFmtId="43" fontId="0" fillId="0" borderId="0" xfId="13" applyFont="1"/>
    <xf numFmtId="43" fontId="10" fillId="0" borderId="0" xfId="12" applyNumberFormat="1"/>
    <xf numFmtId="43" fontId="11" fillId="0" borderId="0" xfId="13" applyFont="1"/>
    <xf numFmtId="0" fontId="60" fillId="0" borderId="0" xfId="12" applyFont="1"/>
    <xf numFmtId="43" fontId="60" fillId="0" borderId="0" xfId="12" applyNumberFormat="1" applyFont="1"/>
    <xf numFmtId="43" fontId="60" fillId="0" borderId="1" xfId="12" applyNumberFormat="1" applyFont="1" applyBorder="1"/>
    <xf numFmtId="0" fontId="59" fillId="0" borderId="0" xfId="12" applyFont="1"/>
    <xf numFmtId="0" fontId="59" fillId="0" borderId="0" xfId="12" applyFont="1" applyAlignment="1">
      <alignment horizontal="center"/>
    </xf>
    <xf numFmtId="0" fontId="59" fillId="0" borderId="0" xfId="12" applyFont="1" applyAlignment="1">
      <alignment horizontal="center" wrapText="1"/>
    </xf>
    <xf numFmtId="0" fontId="60" fillId="0" borderId="0" xfId="12" applyFont="1" applyAlignment="1">
      <alignment horizontal="right"/>
    </xf>
    <xf numFmtId="49" fontId="26" fillId="2" borderId="0" xfId="0" quotePrefix="1" applyNumberFormat="1" applyFont="1" applyFill="1" applyAlignment="1">
      <alignment horizontal="center"/>
    </xf>
    <xf numFmtId="43" fontId="60" fillId="0" borderId="0" xfId="1" applyFont="1"/>
    <xf numFmtId="43" fontId="10" fillId="0" borderId="0" xfId="12" applyNumberFormat="1" applyFill="1"/>
    <xf numFmtId="43" fontId="11" fillId="0" borderId="0" xfId="1" applyFont="1"/>
    <xf numFmtId="43" fontId="63" fillId="0" borderId="0" xfId="1" applyFont="1"/>
    <xf numFmtId="43" fontId="63" fillId="0" borderId="0" xfId="13" applyFont="1"/>
    <xf numFmtId="0" fontId="60" fillId="0" borderId="0" xfId="12" applyFont="1" applyAlignment="1">
      <alignment horizontal="left"/>
    </xf>
    <xf numFmtId="43" fontId="61" fillId="0" borderId="0" xfId="13" applyFont="1" applyAlignment="1">
      <alignment horizontal="center"/>
    </xf>
    <xf numFmtId="43" fontId="62" fillId="0" borderId="0" xfId="1" applyFont="1" applyAlignment="1">
      <alignment horizontal="center"/>
    </xf>
    <xf numFmtId="178" fontId="25" fillId="0" borderId="0" xfId="0" quotePrefix="1" applyNumberFormat="1" applyFont="1" applyAlignment="1">
      <alignment horizontal="center"/>
    </xf>
    <xf numFmtId="4" fontId="22" fillId="0" borderId="0" xfId="0" quotePrefix="1" applyNumberFormat="1" applyFont="1" applyAlignment="1">
      <alignment horizontal="center"/>
    </xf>
    <xf numFmtId="0" fontId="22" fillId="0" borderId="0" xfId="0" applyFont="1" applyAlignment="1">
      <alignment horizontal="center"/>
    </xf>
    <xf numFmtId="0" fontId="22" fillId="0" borderId="0" xfId="0" applyFont="1" applyAlignment="1">
      <alignment horizontal="left"/>
    </xf>
    <xf numFmtId="0" fontId="22" fillId="0" borderId="0" xfId="0" quotePrefix="1" applyFont="1" applyAlignment="1">
      <alignment horizontal="left"/>
    </xf>
    <xf numFmtId="0" fontId="22" fillId="2" borderId="0" xfId="0" applyFont="1" applyFill="1" applyAlignment="1">
      <alignment horizontal="right"/>
    </xf>
    <xf numFmtId="0" fontId="22" fillId="2" borderId="0" xfId="0" applyFont="1" applyFill="1" applyAlignment="1">
      <alignment horizontal="left"/>
    </xf>
    <xf numFmtId="0" fontId="22" fillId="2" borderId="0" xfId="0" quotePrefix="1" applyFont="1" applyFill="1" applyAlignment="1">
      <alignment horizontal="left"/>
    </xf>
    <xf numFmtId="0" fontId="22" fillId="2" borderId="0" xfId="0" applyFont="1" applyFill="1" applyAlignment="1">
      <alignment horizontal="center"/>
    </xf>
    <xf numFmtId="41" fontId="22" fillId="2" borderId="0" xfId="0" applyNumberFormat="1" applyFont="1" applyFill="1" applyBorder="1"/>
    <xf numFmtId="41" fontId="22" fillId="2" borderId="5" xfId="0" applyNumberFormat="1" applyFont="1" applyFill="1" applyBorder="1"/>
    <xf numFmtId="49" fontId="25" fillId="0" borderId="0" xfId="0" quotePrefix="1" applyNumberFormat="1" applyFont="1" applyAlignment="1">
      <alignment horizontal="center"/>
    </xf>
    <xf numFmtId="43" fontId="39" fillId="4" borderId="0" xfId="7" applyNumberFormat="1" applyFont="1" applyFill="1"/>
    <xf numFmtId="43" fontId="10" fillId="0" borderId="0" xfId="1" applyFont="1"/>
    <xf numFmtId="0" fontId="64" fillId="0" borderId="0" xfId="12" applyFont="1"/>
    <xf numFmtId="43" fontId="0" fillId="0" borderId="0" xfId="13" applyFont="1" applyFill="1"/>
    <xf numFmtId="43" fontId="60" fillId="0" borderId="0" xfId="1" applyFont="1" applyFill="1"/>
    <xf numFmtId="43" fontId="10" fillId="0" borderId="0" xfId="1" applyFont="1" applyFill="1"/>
    <xf numFmtId="49" fontId="25" fillId="0" borderId="0" xfId="0" applyNumberFormat="1" applyFont="1" applyAlignment="1">
      <alignment horizontal="center"/>
    </xf>
    <xf numFmtId="43" fontId="22" fillId="0" borderId="0" xfId="0" applyNumberFormat="1" applyFont="1" applyAlignment="1">
      <alignment horizontal="right"/>
    </xf>
    <xf numFmtId="49" fontId="23" fillId="0" borderId="0" xfId="0" applyNumberFormat="1" applyFont="1"/>
    <xf numFmtId="43" fontId="0" fillId="3" borderId="0" xfId="13" applyFont="1" applyFill="1"/>
    <xf numFmtId="0" fontId="10" fillId="3" borderId="0" xfId="12" applyFill="1"/>
    <xf numFmtId="0" fontId="26" fillId="17" borderId="0" xfId="0" quotePrefix="1" applyFont="1" applyFill="1" applyAlignment="1">
      <alignment horizontal="left"/>
    </xf>
    <xf numFmtId="0" fontId="25" fillId="17" borderId="0" xfId="0" applyFont="1" applyFill="1"/>
    <xf numFmtId="179" fontId="25" fillId="17" borderId="0" xfId="0" applyNumberFormat="1" applyFont="1" applyFill="1" applyAlignment="1">
      <alignment horizontal="center"/>
    </xf>
    <xf numFmtId="0" fontId="10" fillId="3" borderId="0" xfId="12" applyFill="1" applyAlignment="1">
      <alignment horizontal="center"/>
    </xf>
    <xf numFmtId="0" fontId="41" fillId="0" borderId="0" xfId="0" applyFont="1" applyAlignment="1">
      <alignment horizontal="center"/>
    </xf>
    <xf numFmtId="49" fontId="25" fillId="0" borderId="0" xfId="7" quotePrefix="1" applyNumberFormat="1" applyFont="1" applyFill="1" applyAlignment="1">
      <alignment horizontal="left" indent="1"/>
    </xf>
    <xf numFmtId="0" fontId="9" fillId="0" borderId="0" xfId="12" applyFont="1" applyFill="1"/>
    <xf numFmtId="0" fontId="10" fillId="0" borderId="0" xfId="12" applyFill="1"/>
    <xf numFmtId="0" fontId="65" fillId="0" borderId="0" xfId="12" applyFont="1"/>
    <xf numFmtId="0" fontId="65" fillId="0" borderId="0" xfId="12" applyFont="1" applyAlignment="1">
      <alignment horizontal="center"/>
    </xf>
    <xf numFmtId="43" fontId="66" fillId="0" borderId="0" xfId="13" applyFont="1"/>
    <xf numFmtId="43" fontId="66" fillId="0" borderId="0" xfId="13" applyFont="1" applyFill="1"/>
    <xf numFmtId="43" fontId="67" fillId="0" borderId="0" xfId="13" applyFont="1"/>
    <xf numFmtId="1" fontId="17" fillId="0" borderId="0" xfId="0" quotePrefix="1" applyNumberFormat="1" applyFont="1" applyAlignment="1">
      <alignment horizontal="left"/>
    </xf>
    <xf numFmtId="43" fontId="63" fillId="0" borderId="0" xfId="13" applyFont="1" applyFill="1"/>
    <xf numFmtId="0" fontId="22" fillId="0" borderId="0" xfId="0" quotePrefix="1" applyFont="1" applyAlignment="1">
      <alignment horizontal="left"/>
    </xf>
    <xf numFmtId="0" fontId="22" fillId="2" borderId="0" xfId="0" quotePrefix="1" applyFont="1" applyFill="1" applyAlignment="1">
      <alignment horizontal="left"/>
    </xf>
    <xf numFmtId="49" fontId="26" fillId="2" borderId="0" xfId="0" quotePrefix="1" applyNumberFormat="1" applyFont="1" applyFill="1" applyBorder="1" applyAlignment="1">
      <alignment wrapText="1"/>
    </xf>
    <xf numFmtId="49" fontId="26" fillId="2" borderId="18" xfId="0" quotePrefix="1" applyNumberFormat="1" applyFont="1" applyFill="1" applyBorder="1" applyAlignment="1">
      <alignment wrapText="1"/>
    </xf>
    <xf numFmtId="49" fontId="26" fillId="2" borderId="7" xfId="0" quotePrefix="1" applyNumberFormat="1" applyFont="1" applyFill="1" applyBorder="1" applyAlignment="1"/>
    <xf numFmtId="2" fontId="47" fillId="0" borderId="0" xfId="0" applyNumberFormat="1" applyFont="1" applyAlignment="1">
      <alignment horizontal="left" indent="3"/>
    </xf>
    <xf numFmtId="4" fontId="22" fillId="0" borderId="0" xfId="0" quotePrefix="1" applyNumberFormat="1" applyFont="1" applyAlignment="1">
      <alignment horizontal="center"/>
    </xf>
    <xf numFmtId="0" fontId="22" fillId="0" borderId="0" xfId="0" applyFont="1" applyAlignment="1">
      <alignment horizontal="center"/>
    </xf>
    <xf numFmtId="0" fontId="22" fillId="0" borderId="1" xfId="0" applyFont="1" applyBorder="1" applyAlignment="1">
      <alignment horizontal="center"/>
    </xf>
    <xf numFmtId="0" fontId="22" fillId="0" borderId="0" xfId="0" quotePrefix="1" applyFont="1" applyAlignment="1">
      <alignment horizontal="center"/>
    </xf>
    <xf numFmtId="4" fontId="22" fillId="0" borderId="0" xfId="0" applyNumberFormat="1" applyFont="1"/>
    <xf numFmtId="4" fontId="23" fillId="0" borderId="0" xfId="0" applyNumberFormat="1" applyFont="1" applyAlignment="1">
      <alignment horizontal="left"/>
    </xf>
    <xf numFmtId="0" fontId="22" fillId="0" borderId="1" xfId="0" quotePrefix="1" applyFont="1" applyBorder="1" applyAlignment="1">
      <alignment horizontal="center"/>
    </xf>
    <xf numFmtId="0" fontId="22" fillId="0" borderId="0" xfId="0" applyFont="1" applyAlignment="1">
      <alignment horizontal="left"/>
    </xf>
    <xf numFmtId="2" fontId="22" fillId="0" borderId="0" xfId="0" applyNumberFormat="1" applyFont="1" applyAlignment="1">
      <alignment horizontal="center"/>
    </xf>
    <xf numFmtId="0" fontId="22" fillId="0" borderId="0" xfId="0" quotePrefix="1" applyFont="1" applyAlignment="1">
      <alignment horizontal="left"/>
    </xf>
    <xf numFmtId="0" fontId="22" fillId="0" borderId="0" xfId="0" quotePrefix="1" applyFont="1" applyAlignment="1">
      <alignment horizontal="left" wrapText="1"/>
    </xf>
    <xf numFmtId="0" fontId="22" fillId="0" borderId="0" xfId="0" applyFont="1" applyAlignment="1">
      <alignment horizontal="right"/>
    </xf>
    <xf numFmtId="3" fontId="22" fillId="0" borderId="0" xfId="0" quotePrefix="1" applyNumberFormat="1" applyFont="1" applyAlignment="1">
      <alignment horizontal="center"/>
    </xf>
    <xf numFmtId="0" fontId="22" fillId="2" borderId="0" xfId="0" quotePrefix="1" applyFont="1" applyFill="1" applyAlignment="1">
      <alignment horizontal="left"/>
    </xf>
    <xf numFmtId="0" fontId="22" fillId="2" borderId="0" xfId="0" applyFont="1" applyFill="1" applyAlignment="1">
      <alignment horizontal="left"/>
    </xf>
    <xf numFmtId="0" fontId="22" fillId="2" borderId="0" xfId="0" applyFont="1" applyFill="1" applyAlignment="1">
      <alignment horizontal="right"/>
    </xf>
    <xf numFmtId="166" fontId="27" fillId="2" borderId="0" xfId="0" applyNumberFormat="1" applyFont="1" applyFill="1" applyAlignment="1">
      <alignment horizontal="left"/>
    </xf>
    <xf numFmtId="0" fontId="22" fillId="2" borderId="1" xfId="0" applyFont="1" applyFill="1" applyBorder="1" applyAlignment="1">
      <alignment horizontal="center"/>
    </xf>
    <xf numFmtId="165" fontId="22" fillId="2" borderId="0" xfId="4" applyFont="1" applyFill="1" applyBorder="1" applyAlignment="1">
      <alignment horizontal="right"/>
    </xf>
    <xf numFmtId="2" fontId="32" fillId="2" borderId="0" xfId="0" applyNumberFormat="1" applyFont="1" applyFill="1" applyAlignment="1">
      <alignment horizontal="left"/>
    </xf>
    <xf numFmtId="4" fontId="22" fillId="2" borderId="0" xfId="0" quotePrefix="1" applyNumberFormat="1" applyFont="1" applyFill="1" applyAlignment="1">
      <alignment horizontal="left"/>
    </xf>
    <xf numFmtId="2" fontId="22" fillId="2" borderId="0" xfId="0" applyNumberFormat="1" applyFont="1" applyFill="1" applyAlignment="1">
      <alignment horizontal="center"/>
    </xf>
    <xf numFmtId="0" fontId="26" fillId="0" borderId="0" xfId="0" applyFont="1" applyAlignment="1">
      <alignment horizontal="left"/>
    </xf>
    <xf numFmtId="0" fontId="22" fillId="2" borderId="0" xfId="0" applyFont="1" applyFill="1" applyAlignment="1">
      <alignment horizontal="center"/>
    </xf>
    <xf numFmtId="0" fontId="28" fillId="2" borderId="0" xfId="0" applyFont="1" applyFill="1" applyAlignment="1">
      <alignment horizontal="right"/>
    </xf>
    <xf numFmtId="0" fontId="22" fillId="2" borderId="0" xfId="0" quotePrefix="1" applyFont="1" applyFill="1" applyAlignment="1">
      <alignment horizontal="left" wrapText="1"/>
    </xf>
    <xf numFmtId="0" fontId="24" fillId="2" borderId="0" xfId="0" applyFont="1" applyFill="1" applyAlignment="1">
      <alignment horizontal="left"/>
    </xf>
    <xf numFmtId="0" fontId="22" fillId="2" borderId="1" xfId="0" quotePrefix="1" applyFont="1" applyFill="1" applyBorder="1" applyAlignment="1">
      <alignment horizontal="center"/>
    </xf>
    <xf numFmtId="4" fontId="22" fillId="2" borderId="0" xfId="0" applyNumberFormat="1" applyFont="1" applyFill="1" applyAlignment="1">
      <alignment horizontal="left"/>
    </xf>
    <xf numFmtId="4" fontId="23" fillId="2" borderId="0" xfId="0" applyNumberFormat="1" applyFont="1" applyFill="1" applyAlignment="1">
      <alignment horizontal="left"/>
    </xf>
    <xf numFmtId="4" fontId="22" fillId="0" borderId="0" xfId="0" applyNumberFormat="1" applyFont="1" applyAlignment="1">
      <alignment horizontal="left"/>
    </xf>
    <xf numFmtId="0" fontId="24" fillId="2" borderId="0" xfId="0" applyFont="1" applyFill="1" applyAlignment="1">
      <alignment horizontal="center"/>
    </xf>
    <xf numFmtId="7" fontId="25" fillId="2" borderId="0" xfId="0" applyNumberFormat="1" applyFont="1" applyFill="1" applyAlignment="1">
      <alignment horizontal="center"/>
    </xf>
    <xf numFmtId="0" fontId="22" fillId="0" borderId="0" xfId="0" quotePrefix="1" applyFont="1" applyAlignment="1">
      <alignment horizontal="left"/>
    </xf>
    <xf numFmtId="0" fontId="22" fillId="0" borderId="0" xfId="0" applyFont="1" applyAlignment="1">
      <alignment horizontal="left"/>
    </xf>
    <xf numFmtId="3" fontId="22" fillId="0" borderId="0" xfId="0" quotePrefix="1" applyNumberFormat="1" applyFont="1" applyAlignment="1">
      <alignment horizontal="center"/>
    </xf>
    <xf numFmtId="0" fontId="22" fillId="0" borderId="0" xfId="0" applyFont="1" applyAlignment="1">
      <alignment horizontal="right"/>
    </xf>
    <xf numFmtId="0" fontId="22" fillId="0" borderId="0" xfId="0" applyFont="1" applyAlignment="1">
      <alignment horizontal="center"/>
    </xf>
    <xf numFmtId="0" fontId="22" fillId="0" borderId="1" xfId="0" applyFont="1" applyBorder="1" applyAlignment="1">
      <alignment horizontal="center"/>
    </xf>
    <xf numFmtId="0" fontId="22" fillId="0" borderId="0" xfId="0" quotePrefix="1" applyFont="1" applyAlignment="1">
      <alignment horizontal="center"/>
    </xf>
    <xf numFmtId="0" fontId="22" fillId="0" borderId="0" xfId="0" quotePrefix="1" applyFont="1" applyAlignment="1">
      <alignment horizontal="left" wrapText="1"/>
    </xf>
    <xf numFmtId="2" fontId="22" fillId="0" borderId="0" xfId="0" applyNumberFormat="1" applyFont="1" applyAlignment="1">
      <alignment horizontal="center"/>
    </xf>
    <xf numFmtId="4" fontId="22" fillId="0" borderId="0" xfId="0" applyNumberFormat="1" applyFont="1"/>
    <xf numFmtId="4" fontId="23" fillId="0" borderId="0" xfId="0" applyNumberFormat="1" applyFont="1" applyAlignment="1">
      <alignment horizontal="left"/>
    </xf>
    <xf numFmtId="0" fontId="22" fillId="0" borderId="1" xfId="0" quotePrefix="1" applyFont="1" applyBorder="1" applyAlignment="1">
      <alignment horizontal="center"/>
    </xf>
    <xf numFmtId="2" fontId="47" fillId="0" borderId="0" xfId="0" applyNumberFormat="1" applyFont="1" applyAlignment="1">
      <alignment horizontal="left" indent="3"/>
    </xf>
    <xf numFmtId="4" fontId="22" fillId="0" borderId="0" xfId="0" quotePrefix="1" applyNumberFormat="1" applyFont="1" applyAlignment="1">
      <alignment horizontal="center"/>
    </xf>
    <xf numFmtId="0" fontId="22" fillId="2" borderId="0" xfId="0" applyFont="1" applyFill="1" applyAlignment="1">
      <alignment horizontal="center"/>
    </xf>
    <xf numFmtId="4" fontId="22" fillId="2" borderId="0" xfId="0" applyNumberFormat="1" applyFont="1" applyFill="1" applyAlignment="1">
      <alignment horizontal="left"/>
    </xf>
    <xf numFmtId="4" fontId="23" fillId="2" borderId="0" xfId="0" applyNumberFormat="1" applyFont="1" applyFill="1" applyAlignment="1">
      <alignment horizontal="left"/>
    </xf>
    <xf numFmtId="4" fontId="22" fillId="0" borderId="0" xfId="0" applyNumberFormat="1" applyFont="1" applyAlignment="1">
      <alignment horizontal="left"/>
    </xf>
    <xf numFmtId="0" fontId="24" fillId="2" borderId="0" xfId="0" applyFont="1" applyFill="1" applyAlignment="1">
      <alignment horizontal="center"/>
    </xf>
    <xf numFmtId="7" fontId="25" fillId="2" borderId="0" xfId="0" applyNumberFormat="1" applyFont="1" applyFill="1" applyAlignment="1">
      <alignment horizontal="center"/>
    </xf>
    <xf numFmtId="0" fontId="22" fillId="2" borderId="0" xfId="0" applyFont="1" applyFill="1" applyAlignment="1">
      <alignment horizontal="left"/>
    </xf>
    <xf numFmtId="0" fontId="22" fillId="2" borderId="1" xfId="0" quotePrefix="1" applyFont="1" applyFill="1" applyBorder="1" applyAlignment="1">
      <alignment horizontal="center"/>
    </xf>
    <xf numFmtId="0" fontId="24" fillId="2" borderId="0" xfId="0" applyFont="1" applyFill="1" applyAlignment="1">
      <alignment horizontal="left"/>
    </xf>
    <xf numFmtId="2" fontId="22" fillId="2" borderId="0" xfId="0" applyNumberFormat="1" applyFont="1" applyFill="1" applyAlignment="1">
      <alignment horizontal="center"/>
    </xf>
    <xf numFmtId="166" fontId="27" fillId="2" borderId="0" xfId="0" applyNumberFormat="1" applyFont="1" applyFill="1" applyAlignment="1">
      <alignment horizontal="left"/>
    </xf>
    <xf numFmtId="0" fontId="22" fillId="2" borderId="0" xfId="0" quotePrefix="1" applyFont="1" applyFill="1" applyAlignment="1">
      <alignment horizontal="left"/>
    </xf>
    <xf numFmtId="0" fontId="22" fillId="2" borderId="0" xfId="0" quotePrefix="1" applyFont="1" applyFill="1" applyAlignment="1">
      <alignment horizontal="left" wrapText="1"/>
    </xf>
    <xf numFmtId="0" fontId="26" fillId="0" borderId="0" xfId="0" applyFont="1" applyAlignment="1">
      <alignment horizontal="left"/>
    </xf>
    <xf numFmtId="0" fontId="22" fillId="2" borderId="1" xfId="0" applyFont="1" applyFill="1" applyBorder="1" applyAlignment="1">
      <alignment horizontal="center"/>
    </xf>
    <xf numFmtId="0" fontId="28" fillId="2" borderId="0" xfId="0" applyFont="1" applyFill="1" applyAlignment="1">
      <alignment horizontal="right"/>
    </xf>
    <xf numFmtId="0" fontId="22" fillId="2" borderId="0" xfId="0" applyFont="1" applyFill="1" applyAlignment="1">
      <alignment horizontal="right"/>
    </xf>
    <xf numFmtId="165" fontId="22" fillId="2" borderId="0" xfId="4" applyFont="1" applyFill="1" applyBorder="1" applyAlignment="1">
      <alignment horizontal="right"/>
    </xf>
    <xf numFmtId="2" fontId="32" fillId="2" borderId="0" xfId="0" applyNumberFormat="1" applyFont="1" applyFill="1" applyAlignment="1">
      <alignment horizontal="left"/>
    </xf>
    <xf numFmtId="4" fontId="22" fillId="2" borderId="0" xfId="0" quotePrefix="1" applyNumberFormat="1" applyFont="1" applyFill="1" applyAlignment="1">
      <alignment horizontal="left"/>
    </xf>
    <xf numFmtId="0" fontId="8" fillId="0" borderId="0" xfId="12" applyFont="1"/>
    <xf numFmtId="49" fontId="8" fillId="0" borderId="0" xfId="12" applyNumberFormat="1" applyFont="1" applyAlignment="1">
      <alignment horizontal="center"/>
    </xf>
    <xf numFmtId="1" fontId="26" fillId="0" borderId="0" xfId="0" applyNumberFormat="1" applyFont="1" applyBorder="1" applyAlignment="1">
      <alignment horizontal="center"/>
    </xf>
    <xf numFmtId="0" fontId="26" fillId="0" borderId="0" xfId="0" applyFont="1" applyBorder="1" applyAlignment="1">
      <alignment horizontal="center"/>
    </xf>
    <xf numFmtId="0" fontId="18" fillId="2" borderId="27" xfId="0" quotePrefix="1" applyFont="1" applyFill="1" applyBorder="1" applyAlignment="1">
      <alignment horizontal="left"/>
    </xf>
    <xf numFmtId="0" fontId="42" fillId="2" borderId="17" xfId="0" quotePrefix="1" applyFont="1" applyFill="1" applyBorder="1" applyAlignment="1">
      <alignment horizontal="left"/>
    </xf>
    <xf numFmtId="0" fontId="18" fillId="0" borderId="0" xfId="0" quotePrefix="1" applyFont="1" applyFill="1" applyBorder="1" applyAlignment="1">
      <alignment horizontal="left" indent="1"/>
    </xf>
    <xf numFmtId="0" fontId="42" fillId="0" borderId="0" xfId="0" quotePrefix="1" applyFont="1" applyFill="1" applyBorder="1" applyAlignment="1">
      <alignment horizontal="left" indent="2"/>
    </xf>
    <xf numFmtId="0" fontId="42" fillId="0" borderId="0" xfId="0" quotePrefix="1" applyFont="1" applyFill="1" applyBorder="1" applyAlignment="1">
      <alignment horizontal="left"/>
    </xf>
    <xf numFmtId="0" fontId="18" fillId="0" borderId="0" xfId="0" quotePrefix="1" applyFont="1" applyFill="1" applyBorder="1" applyAlignment="1">
      <alignment horizontal="left"/>
    </xf>
    <xf numFmtId="0" fontId="39" fillId="0" borderId="0" xfId="0" applyFont="1" applyFill="1" applyBorder="1"/>
    <xf numFmtId="43" fontId="25" fillId="0" borderId="0" xfId="7" applyNumberFormat="1" applyFont="1" applyFill="1"/>
    <xf numFmtId="43" fontId="26" fillId="0" borderId="0" xfId="0" applyNumberFormat="1" applyFont="1" applyBorder="1" applyAlignment="1">
      <alignment horizontal="center"/>
    </xf>
    <xf numFmtId="1" fontId="25" fillId="0" borderId="0" xfId="0" applyNumberFormat="1" applyFont="1" applyBorder="1" applyAlignment="1">
      <alignment horizontal="center"/>
    </xf>
    <xf numFmtId="1" fontId="25" fillId="0" borderId="0" xfId="0" applyNumberFormat="1" applyFont="1" applyBorder="1" applyAlignment="1">
      <alignment horizontal="left"/>
    </xf>
    <xf numFmtId="49" fontId="25" fillId="0" borderId="0" xfId="0" applyNumberFormat="1" applyFont="1" applyBorder="1" applyAlignment="1">
      <alignment horizontal="center"/>
    </xf>
    <xf numFmtId="49" fontId="25" fillId="4" borderId="0" xfId="0" quotePrefix="1" applyNumberFormat="1" applyFont="1" applyFill="1" applyAlignment="1">
      <alignment horizontal="left"/>
    </xf>
    <xf numFmtId="0" fontId="25" fillId="0" borderId="0" xfId="0" applyFont="1" applyBorder="1" applyAlignment="1">
      <alignment horizontal="left"/>
    </xf>
    <xf numFmtId="0" fontId="25" fillId="0" borderId="0" xfId="0" applyFont="1" applyBorder="1" applyAlignment="1">
      <alignment horizontal="center"/>
    </xf>
    <xf numFmtId="43" fontId="0" fillId="0" borderId="0" xfId="1" applyFont="1" applyFill="1"/>
    <xf numFmtId="43" fontId="8" fillId="0" borderId="0" xfId="1" applyFont="1" applyAlignment="1">
      <alignment horizontal="center"/>
    </xf>
    <xf numFmtId="43" fontId="11" fillId="0" borderId="0" xfId="13" applyFont="1" applyAlignment="1">
      <alignment horizontal="center"/>
    </xf>
    <xf numFmtId="0" fontId="22" fillId="0" borderId="0" xfId="0" quotePrefix="1" applyFont="1" applyBorder="1" applyAlignment="1">
      <alignment horizontal="center"/>
    </xf>
    <xf numFmtId="43" fontId="7" fillId="0" borderId="0" xfId="1" applyFont="1" applyAlignment="1">
      <alignment horizontal="center"/>
    </xf>
    <xf numFmtId="43" fontId="7" fillId="0" borderId="0" xfId="12" applyNumberFormat="1" applyFont="1" applyAlignment="1">
      <alignment horizontal="center"/>
    </xf>
    <xf numFmtId="43" fontId="0" fillId="3" borderId="0" xfId="1" applyFont="1" applyFill="1"/>
    <xf numFmtId="43" fontId="6" fillId="0" borderId="0" xfId="1" applyFont="1" applyAlignment="1">
      <alignment horizontal="center"/>
    </xf>
    <xf numFmtId="43" fontId="11" fillId="0" borderId="0" xfId="1" applyFont="1" applyFill="1"/>
    <xf numFmtId="43" fontId="5" fillId="0" borderId="0" xfId="1" applyFont="1" applyAlignment="1">
      <alignment horizontal="center"/>
    </xf>
    <xf numFmtId="43" fontId="5" fillId="0" borderId="0" xfId="1" applyFont="1"/>
    <xf numFmtId="43" fontId="26" fillId="0" borderId="14" xfId="1" applyFont="1" applyBorder="1" applyAlignment="1">
      <alignment horizontal="center"/>
    </xf>
    <xf numFmtId="43" fontId="26" fillId="0" borderId="0" xfId="0" applyNumberFormat="1" applyFont="1"/>
    <xf numFmtId="43" fontId="39" fillId="0" borderId="0" xfId="1" applyNumberFormat="1" applyFont="1"/>
    <xf numFmtId="43" fontId="4" fillId="0" borderId="0" xfId="1" applyFont="1" applyAlignment="1">
      <alignment horizontal="center"/>
    </xf>
    <xf numFmtId="43" fontId="60" fillId="0" borderId="0" xfId="1" applyFont="1" applyAlignment="1">
      <alignment horizontal="center"/>
    </xf>
    <xf numFmtId="43" fontId="0" fillId="0" borderId="0" xfId="1" applyFont="1"/>
    <xf numFmtId="1" fontId="25" fillId="18" borderId="0" xfId="8" applyNumberFormat="1" applyFont="1" applyFill="1" applyAlignment="1">
      <alignment horizontal="center"/>
    </xf>
    <xf numFmtId="49" fontId="25" fillId="0" borderId="0" xfId="8" applyNumberFormat="1" applyFont="1" applyFill="1" applyAlignment="1">
      <alignment horizontal="center"/>
    </xf>
    <xf numFmtId="1" fontId="25" fillId="0" borderId="0" xfId="8" applyNumberFormat="1" applyFont="1" applyFill="1" applyAlignment="1">
      <alignment horizontal="center"/>
    </xf>
    <xf numFmtId="49" fontId="25" fillId="4" borderId="0" xfId="0" applyNumberFormat="1" applyFont="1" applyFill="1" applyBorder="1" applyAlignment="1">
      <alignment horizontal="center"/>
    </xf>
    <xf numFmtId="1" fontId="25" fillId="4" borderId="0" xfId="0" applyNumberFormat="1" applyFont="1" applyFill="1" applyBorder="1" applyAlignment="1">
      <alignment horizontal="left"/>
    </xf>
    <xf numFmtId="0" fontId="25" fillId="4" borderId="0" xfId="0" applyFont="1" applyFill="1" applyBorder="1" applyAlignment="1">
      <alignment horizontal="left"/>
    </xf>
    <xf numFmtId="43" fontId="26" fillId="4" borderId="0" xfId="1" quotePrefix="1" applyFont="1" applyFill="1" applyBorder="1" applyAlignment="1">
      <alignment horizontal="center"/>
    </xf>
    <xf numFmtId="43" fontId="27" fillId="0" borderId="1" xfId="1" applyNumberFormat="1" applyFont="1" applyBorder="1" applyAlignment="1">
      <alignment horizontal="center"/>
    </xf>
    <xf numFmtId="43" fontId="3" fillId="0" borderId="0" xfId="1" applyFont="1" applyAlignment="1">
      <alignment horizontal="center"/>
    </xf>
    <xf numFmtId="43" fontId="2" fillId="0" borderId="0" xfId="1" applyFont="1" applyAlignment="1">
      <alignment horizontal="center"/>
    </xf>
    <xf numFmtId="43" fontId="2" fillId="0" borderId="0" xfId="1" applyFont="1"/>
    <xf numFmtId="4" fontId="22" fillId="0" borderId="0" xfId="0" quotePrefix="1" applyNumberFormat="1" applyFont="1" applyAlignment="1">
      <alignment horizontal="center"/>
    </xf>
    <xf numFmtId="0" fontId="22" fillId="0" borderId="0" xfId="0" applyFont="1" applyAlignment="1">
      <alignment horizontal="center"/>
    </xf>
    <xf numFmtId="0" fontId="22" fillId="0" borderId="0" xfId="0" applyFont="1" applyAlignment="1">
      <alignment horizontal="left"/>
    </xf>
    <xf numFmtId="0" fontId="22" fillId="0" borderId="0" xfId="0" quotePrefix="1" applyFont="1" applyAlignment="1">
      <alignment horizontal="left"/>
    </xf>
    <xf numFmtId="43" fontId="18" fillId="0" borderId="0" xfId="0" quotePrefix="1" applyNumberFormat="1" applyFont="1" applyAlignment="1">
      <alignment horizontal="left" indent="1"/>
    </xf>
    <xf numFmtId="0" fontId="26" fillId="2" borderId="7" xfId="0" quotePrefix="1" applyFont="1" applyFill="1" applyBorder="1" applyAlignment="1"/>
    <xf numFmtId="49" fontId="26" fillId="2" borderId="7" xfId="0" quotePrefix="1" applyNumberFormat="1" applyFont="1" applyFill="1" applyBorder="1" applyAlignment="1">
      <alignment horizontal="left" wrapText="1"/>
    </xf>
    <xf numFmtId="43" fontId="1" fillId="0" borderId="0" xfId="1" applyFont="1" applyAlignment="1">
      <alignment horizontal="center"/>
    </xf>
    <xf numFmtId="43" fontId="59" fillId="0" borderId="0" xfId="1" applyFont="1" applyAlignment="1">
      <alignment horizontal="center"/>
    </xf>
    <xf numFmtId="0" fontId="22" fillId="19" borderId="0" xfId="0" applyFont="1" applyFill="1"/>
    <xf numFmtId="43" fontId="11" fillId="0" borderId="0" xfId="13" applyFont="1" applyFill="1"/>
    <xf numFmtId="43" fontId="11" fillId="3" borderId="0" xfId="13" applyFont="1" applyFill="1"/>
    <xf numFmtId="0" fontId="26" fillId="0" borderId="10" xfId="0" applyFont="1" applyBorder="1" applyAlignment="1">
      <alignment horizontal="center"/>
    </xf>
    <xf numFmtId="0" fontId="26" fillId="0" borderId="5" xfId="0" applyFont="1" applyBorder="1" applyAlignment="1">
      <alignment horizontal="center"/>
    </xf>
    <xf numFmtId="0" fontId="26" fillId="0" borderId="11" xfId="0" applyFont="1" applyBorder="1" applyAlignment="1">
      <alignment horizontal="center"/>
    </xf>
    <xf numFmtId="0" fontId="26" fillId="0" borderId="4" xfId="0" applyFont="1" applyBorder="1" applyAlignment="1">
      <alignment horizontal="center"/>
    </xf>
    <xf numFmtId="0" fontId="26" fillId="0" borderId="0" xfId="0" quotePrefix="1" applyFont="1" applyAlignment="1">
      <alignment horizontal="center"/>
    </xf>
    <xf numFmtId="0" fontId="41" fillId="0" borderId="21" xfId="0" quotePrefix="1" applyFont="1" applyBorder="1" applyAlignment="1">
      <alignment horizontal="center"/>
    </xf>
    <xf numFmtId="0" fontId="41" fillId="0" borderId="22" xfId="0" quotePrefix="1" applyFont="1" applyBorder="1" applyAlignment="1">
      <alignment horizontal="center"/>
    </xf>
    <xf numFmtId="0" fontId="41" fillId="0" borderId="23" xfId="0" quotePrefix="1" applyFont="1" applyBorder="1" applyAlignment="1">
      <alignment horizontal="center"/>
    </xf>
    <xf numFmtId="0" fontId="26" fillId="2" borderId="7" xfId="0" quotePrefix="1" applyFont="1" applyFill="1" applyBorder="1" applyAlignment="1">
      <alignment horizontal="left" vertical="top" wrapText="1"/>
    </xf>
    <xf numFmtId="0" fontId="26" fillId="2" borderId="0" xfId="0" quotePrefix="1" applyFont="1" applyFill="1" applyBorder="1" applyAlignment="1">
      <alignment horizontal="left" vertical="top" wrapText="1"/>
    </xf>
    <xf numFmtId="0" fontId="26" fillId="2" borderId="18" xfId="0" quotePrefix="1" applyFont="1" applyFill="1" applyBorder="1" applyAlignment="1">
      <alignment horizontal="left" vertical="top" wrapText="1"/>
    </xf>
    <xf numFmtId="43" fontId="26" fillId="0" borderId="4" xfId="1" quotePrefix="1" applyFont="1" applyBorder="1" applyAlignment="1">
      <alignment horizontal="center"/>
    </xf>
    <xf numFmtId="0" fontId="26" fillId="0" borderId="4" xfId="0" quotePrefix="1" applyFont="1" applyBorder="1" applyAlignment="1">
      <alignment horizontal="center"/>
    </xf>
    <xf numFmtId="49" fontId="41" fillId="0" borderId="4" xfId="7" quotePrefix="1" applyNumberFormat="1" applyFont="1" applyBorder="1" applyAlignment="1">
      <alignment horizontal="center"/>
    </xf>
    <xf numFmtId="49" fontId="41" fillId="0" borderId="4" xfId="7" applyNumberFormat="1" applyFont="1" applyBorder="1" applyAlignment="1">
      <alignment horizontal="center"/>
    </xf>
    <xf numFmtId="2" fontId="47" fillId="0" borderId="0" xfId="0" applyNumberFormat="1" applyFont="1" applyAlignment="1">
      <alignment horizontal="left" indent="3"/>
    </xf>
    <xf numFmtId="4" fontId="22" fillId="0" borderId="0" xfId="0" quotePrefix="1" applyNumberFormat="1" applyFont="1" applyAlignment="1">
      <alignment horizontal="center"/>
    </xf>
    <xf numFmtId="0" fontId="45" fillId="0" borderId="0" xfId="0" quotePrefix="1" applyFont="1" applyAlignment="1">
      <alignment horizontal="right"/>
    </xf>
    <xf numFmtId="0" fontId="45" fillId="0" borderId="0" xfId="0" applyFont="1" applyAlignment="1">
      <alignment horizontal="right"/>
    </xf>
    <xf numFmtId="0" fontId="56" fillId="0" borderId="0" xfId="0" applyFont="1" applyAlignment="1">
      <alignment horizontal="left" vertical="center"/>
    </xf>
    <xf numFmtId="0" fontId="56" fillId="0" borderId="0" xfId="0" applyFont="1" applyAlignment="1">
      <alignment horizontal="left" vertical="center" wrapText="1"/>
    </xf>
    <xf numFmtId="0" fontId="22" fillId="0" borderId="6" xfId="0" applyFont="1" applyBorder="1" applyAlignment="1">
      <alignment horizontal="left" indent="2"/>
    </xf>
    <xf numFmtId="7" fontId="22" fillId="0" borderId="6" xfId="0" applyNumberFormat="1" applyFont="1" applyBorder="1" applyAlignment="1">
      <alignment horizontal="right"/>
    </xf>
    <xf numFmtId="0" fontId="22" fillId="0" borderId="0" xfId="0" applyFont="1" applyAlignment="1">
      <alignment horizontal="center"/>
    </xf>
    <xf numFmtId="0" fontId="22" fillId="0" borderId="1" xfId="0" applyFont="1" applyBorder="1" applyAlignment="1">
      <alignment horizontal="center"/>
    </xf>
    <xf numFmtId="0" fontId="22" fillId="0" borderId="0" xfId="0" quotePrefix="1" applyFont="1" applyAlignment="1">
      <alignment horizontal="center"/>
    </xf>
    <xf numFmtId="0" fontId="23" fillId="0" borderId="7" xfId="0" applyFont="1" applyBorder="1" applyAlignment="1">
      <alignment horizontal="left"/>
    </xf>
    <xf numFmtId="0" fontId="23" fillId="0" borderId="0" xfId="0" applyFont="1" applyAlignment="1">
      <alignment horizontal="left"/>
    </xf>
    <xf numFmtId="4" fontId="22" fillId="0" borderId="0" xfId="0" applyNumberFormat="1" applyFont="1"/>
    <xf numFmtId="4" fontId="23" fillId="0" borderId="0" xfId="0" applyNumberFormat="1" applyFont="1" applyAlignment="1">
      <alignment horizontal="left"/>
    </xf>
    <xf numFmtId="4" fontId="22" fillId="0" borderId="0" xfId="0" quotePrefix="1" applyNumberFormat="1" applyFont="1" applyAlignment="1">
      <alignment horizontal="left"/>
    </xf>
    <xf numFmtId="168" fontId="22" fillId="0" borderId="0" xfId="0" applyNumberFormat="1" applyFont="1" applyAlignment="1">
      <alignment horizontal="center" wrapText="1"/>
    </xf>
    <xf numFmtId="0" fontId="22" fillId="0" borderId="1" xfId="0" applyFont="1" applyBorder="1" applyAlignment="1">
      <alignment horizontal="left" wrapText="1"/>
    </xf>
    <xf numFmtId="168" fontId="22" fillId="0" borderId="1" xfId="0" applyNumberFormat="1" applyFont="1" applyBorder="1" applyAlignment="1">
      <alignment horizontal="center" wrapText="1"/>
    </xf>
    <xf numFmtId="0" fontId="22" fillId="0" borderId="1" xfId="0" quotePrefix="1" applyFont="1" applyBorder="1" applyAlignment="1">
      <alignment horizontal="center"/>
    </xf>
    <xf numFmtId="168" fontId="22" fillId="0" borderId="1" xfId="0" quotePrefix="1" applyNumberFormat="1" applyFont="1" applyBorder="1" applyAlignment="1">
      <alignment horizontal="center"/>
    </xf>
    <xf numFmtId="0" fontId="22" fillId="0" borderId="6" xfId="0" applyFont="1" applyBorder="1" applyAlignment="1">
      <alignment horizontal="left"/>
    </xf>
    <xf numFmtId="168" fontId="22" fillId="0" borderId="6" xfId="0" applyNumberFormat="1" applyFont="1" applyBorder="1" applyAlignment="1">
      <alignment horizontal="center"/>
    </xf>
    <xf numFmtId="0" fontId="22" fillId="0" borderId="0" xfId="0" applyFont="1" applyAlignment="1">
      <alignment horizontal="left"/>
    </xf>
    <xf numFmtId="168" fontId="22" fillId="0" borderId="0" xfId="0" applyNumberFormat="1" applyFont="1" applyAlignment="1">
      <alignment horizontal="center"/>
    </xf>
    <xf numFmtId="0" fontId="22" fillId="0" borderId="0" xfId="0" quotePrefix="1" applyFont="1" applyAlignment="1">
      <alignment horizontal="left" indent="2"/>
    </xf>
    <xf numFmtId="0" fontId="22" fillId="0" borderId="0" xfId="0" applyFont="1" applyAlignment="1">
      <alignment horizontal="left" indent="2"/>
    </xf>
    <xf numFmtId="2" fontId="22" fillId="0" borderId="0" xfId="0" applyNumberFormat="1" applyFont="1" applyAlignment="1">
      <alignment horizontal="center"/>
    </xf>
    <xf numFmtId="0" fontId="22" fillId="0" borderId="0" xfId="0" applyFont="1" applyAlignment="1">
      <alignment horizontal="left" wrapText="1"/>
    </xf>
    <xf numFmtId="0" fontId="22" fillId="0" borderId="0" xfId="0" quotePrefix="1" applyFont="1" applyAlignment="1">
      <alignment horizontal="left"/>
    </xf>
    <xf numFmtId="0" fontId="45" fillId="0" borderId="0" xfId="0" quotePrefix="1" applyFont="1" applyAlignment="1">
      <alignment horizontal="center"/>
    </xf>
    <xf numFmtId="174" fontId="22" fillId="0" borderId="9" xfId="0" applyNumberFormat="1" applyFont="1" applyBorder="1"/>
    <xf numFmtId="0" fontId="22" fillId="0" borderId="0" xfId="0" quotePrefix="1" applyFont="1" applyAlignment="1">
      <alignment horizontal="left" wrapText="1"/>
    </xf>
    <xf numFmtId="0" fontId="24" fillId="0" borderId="6" xfId="0" applyFont="1" applyBorder="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right"/>
    </xf>
    <xf numFmtId="0" fontId="57" fillId="0" borderId="0" xfId="0" applyFont="1" applyFill="1" applyAlignment="1">
      <alignment horizontal="left" vertical="center" wrapText="1"/>
    </xf>
    <xf numFmtId="0" fontId="56" fillId="0" borderId="0" xfId="0" applyFont="1" applyFill="1" applyAlignment="1">
      <alignment horizontal="left"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58" fillId="0" borderId="0" xfId="0" applyFont="1" applyAlignment="1">
      <alignment horizontal="left" vertical="center"/>
    </xf>
    <xf numFmtId="174" fontId="22" fillId="0" borderId="0" xfId="0" applyNumberFormat="1" applyFont="1"/>
    <xf numFmtId="3" fontId="22" fillId="0" borderId="0" xfId="0" quotePrefix="1" applyNumberFormat="1" applyFont="1" applyAlignment="1">
      <alignment horizontal="center"/>
    </xf>
    <xf numFmtId="7" fontId="22" fillId="0" borderId="0" xfId="0" applyNumberFormat="1" applyFont="1" applyAlignment="1">
      <alignment horizontal="right"/>
    </xf>
    <xf numFmtId="0" fontId="22" fillId="15" borderId="1" xfId="0" applyFont="1" applyFill="1" applyBorder="1" applyAlignment="1">
      <alignment horizontal="center"/>
    </xf>
    <xf numFmtId="0" fontId="46" fillId="0" borderId="7" xfId="0" applyFont="1" applyBorder="1" applyAlignment="1">
      <alignment horizontal="left"/>
    </xf>
    <xf numFmtId="0" fontId="46" fillId="0" borderId="0" xfId="0" applyFont="1" applyAlignment="1">
      <alignment horizontal="left"/>
    </xf>
    <xf numFmtId="0" fontId="21" fillId="2" borderId="0" xfId="0" applyFont="1" applyFill="1" applyAlignment="1">
      <alignment horizontal="center"/>
    </xf>
    <xf numFmtId="0" fontId="22" fillId="2" borderId="0" xfId="0" applyFont="1" applyFill="1" applyAlignment="1">
      <alignment horizontal="center"/>
    </xf>
    <xf numFmtId="4" fontId="22" fillId="2" borderId="0" xfId="0" applyNumberFormat="1" applyFont="1" applyFill="1" applyAlignment="1">
      <alignment horizontal="left"/>
    </xf>
    <xf numFmtId="4" fontId="23" fillId="2" borderId="0" xfId="0" applyNumberFormat="1" applyFont="1" applyFill="1" applyAlignment="1">
      <alignment horizontal="left"/>
    </xf>
    <xf numFmtId="169" fontId="24" fillId="2" borderId="0" xfId="0" applyNumberFormat="1" applyFont="1" applyFill="1" applyAlignment="1">
      <alignment horizontal="left"/>
    </xf>
    <xf numFmtId="168" fontId="22" fillId="2" borderId="0" xfId="0" applyNumberFormat="1" applyFont="1" applyFill="1" applyAlignment="1">
      <alignment horizontal="center" wrapText="1"/>
    </xf>
    <xf numFmtId="0" fontId="22" fillId="2" borderId="1" xfId="0" applyFont="1" applyFill="1" applyBorder="1" applyAlignment="1">
      <alignment horizontal="left" wrapText="1"/>
    </xf>
    <xf numFmtId="0" fontId="29" fillId="2" borderId="1" xfId="0" applyFont="1" applyFill="1" applyBorder="1" applyAlignment="1">
      <alignment horizontal="center" wrapText="1"/>
    </xf>
    <xf numFmtId="168" fontId="22" fillId="2" borderId="1" xfId="0" applyNumberFormat="1" applyFont="1" applyFill="1" applyBorder="1" applyAlignment="1">
      <alignment horizontal="center" wrapText="1"/>
    </xf>
    <xf numFmtId="4" fontId="22" fillId="0" borderId="0" xfId="0" applyNumberFormat="1" applyFont="1" applyAlignment="1">
      <alignment horizontal="left"/>
    </xf>
    <xf numFmtId="0" fontId="24" fillId="2" borderId="0" xfId="0" applyFont="1" applyFill="1" applyAlignment="1">
      <alignment horizontal="center"/>
    </xf>
    <xf numFmtId="7" fontId="25" fillId="2" borderId="0" xfId="0" applyNumberFormat="1" applyFont="1" applyFill="1" applyAlignment="1">
      <alignment horizontal="center"/>
    </xf>
    <xf numFmtId="0" fontId="24" fillId="2" borderId="0" xfId="0" quotePrefix="1" applyFont="1" applyFill="1" applyAlignment="1">
      <alignment horizontal="left"/>
    </xf>
    <xf numFmtId="0" fontId="24" fillId="2" borderId="0" xfId="0" applyFont="1" applyFill="1" applyAlignment="1">
      <alignment horizontal="left"/>
    </xf>
    <xf numFmtId="0" fontId="22" fillId="2" borderId="1" xfId="0" quotePrefix="1" applyFont="1" applyFill="1" applyBorder="1" applyAlignment="1">
      <alignment horizontal="center"/>
    </xf>
    <xf numFmtId="0" fontId="29" fillId="2" borderId="1" xfId="0" quotePrefix="1" applyFont="1" applyFill="1" applyBorder="1" applyAlignment="1">
      <alignment horizontal="center"/>
    </xf>
    <xf numFmtId="168" fontId="22" fillId="2" borderId="1" xfId="0" quotePrefix="1" applyNumberFormat="1" applyFont="1" applyFill="1" applyBorder="1" applyAlignment="1">
      <alignment horizontal="center"/>
    </xf>
    <xf numFmtId="168" fontId="22" fillId="6" borderId="6" xfId="0" applyNumberFormat="1" applyFont="1" applyFill="1" applyBorder="1" applyAlignment="1">
      <alignment horizontal="center"/>
    </xf>
    <xf numFmtId="0" fontId="22" fillId="2" borderId="6" xfId="0" applyFont="1" applyFill="1" applyBorder="1" applyAlignment="1">
      <alignment horizontal="left"/>
    </xf>
    <xf numFmtId="2" fontId="28" fillId="2" borderId="5" xfId="0" applyNumberFormat="1" applyFont="1" applyFill="1" applyBorder="1" applyAlignment="1">
      <alignment horizontal="center"/>
    </xf>
    <xf numFmtId="168" fontId="22" fillId="2" borderId="6" xfId="0" applyNumberFormat="1" applyFont="1" applyFill="1" applyBorder="1" applyAlignment="1">
      <alignment horizontal="center"/>
    </xf>
    <xf numFmtId="168" fontId="22" fillId="6" borderId="0" xfId="0" applyNumberFormat="1" applyFont="1" applyFill="1" applyAlignment="1">
      <alignment horizontal="center"/>
    </xf>
    <xf numFmtId="0" fontId="22" fillId="2" borderId="0" xfId="0" applyFont="1" applyFill="1" applyAlignment="1">
      <alignment horizontal="left"/>
    </xf>
    <xf numFmtId="168" fontId="22" fillId="2" borderId="0" xfId="0" applyNumberFormat="1" applyFont="1" applyFill="1" applyAlignment="1">
      <alignment horizontal="center"/>
    </xf>
    <xf numFmtId="0" fontId="22" fillId="2" borderId="1" xfId="0" applyFont="1" applyFill="1" applyBorder="1" applyAlignment="1">
      <alignment horizontal="left"/>
    </xf>
    <xf numFmtId="168" fontId="22" fillId="2" borderId="1" xfId="0" applyNumberFormat="1" applyFont="1" applyFill="1" applyBorder="1" applyAlignment="1">
      <alignment horizontal="center"/>
    </xf>
    <xf numFmtId="0" fontId="22" fillId="2" borderId="6" xfId="0" applyFont="1" applyFill="1" applyBorder="1" applyAlignment="1">
      <alignment horizontal="right"/>
    </xf>
    <xf numFmtId="2" fontId="27" fillId="2" borderId="1" xfId="0" applyNumberFormat="1" applyFont="1" applyFill="1" applyBorder="1" applyAlignment="1">
      <alignment horizontal="center"/>
    </xf>
    <xf numFmtId="2" fontId="22" fillId="2" borderId="0" xfId="0" applyNumberFormat="1" applyFont="1" applyFill="1" applyAlignment="1">
      <alignment horizontal="center"/>
    </xf>
    <xf numFmtId="0" fontId="28" fillId="2" borderId="5" xfId="0" applyFont="1" applyFill="1" applyBorder="1" applyAlignment="1">
      <alignment horizontal="center"/>
    </xf>
    <xf numFmtId="0" fontId="22" fillId="2" borderId="0" xfId="0" applyFont="1" applyFill="1" applyAlignment="1">
      <alignment horizontal="left" wrapText="1"/>
    </xf>
    <xf numFmtId="2" fontId="48" fillId="0" borderId="0" xfId="0" applyNumberFormat="1" applyFont="1" applyAlignment="1">
      <alignment horizontal="center" wrapText="1"/>
    </xf>
    <xf numFmtId="2" fontId="48" fillId="0" borderId="1" xfId="0" applyNumberFormat="1" applyFont="1" applyBorder="1" applyAlignment="1">
      <alignment horizontal="center" wrapText="1"/>
    </xf>
    <xf numFmtId="2" fontId="28" fillId="2" borderId="1" xfId="0" applyNumberFormat="1" applyFont="1" applyFill="1" applyBorder="1" applyAlignment="1">
      <alignment horizontal="center"/>
    </xf>
    <xf numFmtId="0" fontId="22" fillId="2" borderId="0" xfId="0" applyFont="1" applyFill="1" applyAlignment="1">
      <alignment horizontal="right"/>
    </xf>
    <xf numFmtId="2" fontId="29" fillId="2" borderId="1" xfId="0" applyNumberFormat="1" applyFont="1" applyFill="1" applyBorder="1" applyAlignment="1">
      <alignment horizontal="center"/>
    </xf>
    <xf numFmtId="0" fontId="24" fillId="2" borderId="6" xfId="0" applyFont="1" applyFill="1" applyBorder="1" applyAlignment="1">
      <alignment horizontal="left" vertical="center" wrapText="1"/>
    </xf>
    <xf numFmtId="0" fontId="24" fillId="2" borderId="0" xfId="0" applyFont="1" applyFill="1" applyAlignment="1">
      <alignment horizontal="left" vertical="center" wrapText="1"/>
    </xf>
    <xf numFmtId="4" fontId="28" fillId="2" borderId="1" xfId="0" applyNumberFormat="1" applyFont="1" applyFill="1" applyBorder="1" applyAlignment="1">
      <alignment horizontal="center" wrapText="1"/>
    </xf>
    <xf numFmtId="4" fontId="28" fillId="2" borderId="5" xfId="0" applyNumberFormat="1" applyFont="1" applyFill="1" applyBorder="1" applyAlignment="1">
      <alignment horizontal="center" wrapText="1"/>
    </xf>
    <xf numFmtId="166" fontId="27" fillId="2" borderId="0" xfId="0" applyNumberFormat="1" applyFont="1" applyFill="1" applyAlignment="1">
      <alignment horizontal="left"/>
    </xf>
    <xf numFmtId="0" fontId="22" fillId="2" borderId="0" xfId="0" quotePrefix="1" applyFont="1" applyFill="1" applyAlignment="1">
      <alignment horizontal="left"/>
    </xf>
    <xf numFmtId="168" fontId="22" fillId="2" borderId="0" xfId="0" quotePrefix="1" applyNumberFormat="1" applyFont="1" applyFill="1" applyAlignment="1">
      <alignment horizontal="left"/>
    </xf>
    <xf numFmtId="168" fontId="22" fillId="2" borderId="0" xfId="0" applyNumberFormat="1" applyFont="1" applyFill="1" applyAlignment="1">
      <alignment horizontal="left"/>
    </xf>
    <xf numFmtId="4" fontId="31" fillId="2" borderId="0" xfId="0" applyNumberFormat="1" applyFont="1" applyFill="1" applyAlignment="1">
      <alignment horizontal="left"/>
    </xf>
    <xf numFmtId="4" fontId="28" fillId="2" borderId="24" xfId="0" applyNumberFormat="1" applyFont="1" applyFill="1" applyBorder="1" applyAlignment="1">
      <alignment horizontal="center" wrapText="1"/>
    </xf>
    <xf numFmtId="2" fontId="22" fillId="2" borderId="25" xfId="0" applyNumberFormat="1" applyFont="1" applyFill="1" applyBorder="1" applyAlignment="1">
      <alignment horizontal="center"/>
    </xf>
    <xf numFmtId="168" fontId="26" fillId="2" borderId="0" xfId="0" quotePrefix="1" applyNumberFormat="1" applyFont="1" applyFill="1" applyAlignment="1">
      <alignment horizontal="left"/>
    </xf>
    <xf numFmtId="168" fontId="26" fillId="2" borderId="0" xfId="0" applyNumberFormat="1" applyFont="1" applyFill="1" applyAlignment="1">
      <alignment horizontal="left"/>
    </xf>
    <xf numFmtId="168" fontId="51" fillId="2" borderId="0" xfId="0" quotePrefix="1" applyNumberFormat="1" applyFont="1" applyFill="1" applyAlignment="1">
      <alignment horizontal="left"/>
    </xf>
    <xf numFmtId="168" fontId="51" fillId="2" borderId="0" xfId="0" applyNumberFormat="1" applyFont="1" applyFill="1" applyAlignment="1">
      <alignment horizontal="left"/>
    </xf>
    <xf numFmtId="0" fontId="22" fillId="2" borderId="0" xfId="0" quotePrefix="1" applyFont="1" applyFill="1" applyAlignment="1">
      <alignment horizontal="left" wrapText="1"/>
    </xf>
    <xf numFmtId="169" fontId="45" fillId="2" borderId="0" xfId="0" applyNumberFormat="1" applyFont="1" applyFill="1" applyAlignment="1">
      <alignment horizontal="center"/>
    </xf>
    <xf numFmtId="0" fontId="31" fillId="2" borderId="0" xfId="0" applyFont="1" applyFill="1" applyAlignment="1">
      <alignment horizontal="right"/>
    </xf>
    <xf numFmtId="0" fontId="31" fillId="2" borderId="0" xfId="0" quotePrefix="1" applyFont="1" applyFill="1" applyAlignment="1">
      <alignment horizontal="center"/>
    </xf>
    <xf numFmtId="0" fontId="31" fillId="2" borderId="0" xfId="0" applyFont="1" applyFill="1" applyAlignment="1">
      <alignment horizontal="center"/>
    </xf>
    <xf numFmtId="0" fontId="28" fillId="2" borderId="0" xfId="0" applyFont="1" applyFill="1" applyAlignment="1">
      <alignment horizontal="right"/>
    </xf>
    <xf numFmtId="0" fontId="28" fillId="2" borderId="1" xfId="0" applyFont="1" applyFill="1" applyBorder="1" applyAlignment="1">
      <alignment horizontal="center"/>
    </xf>
    <xf numFmtId="165" fontId="22" fillId="2" borderId="7" xfId="4" applyFont="1" applyFill="1" applyBorder="1" applyAlignment="1">
      <alignment horizontal="right"/>
    </xf>
    <xf numFmtId="165" fontId="22" fillId="2" borderId="0" xfId="4" applyFont="1" applyFill="1" applyBorder="1" applyAlignment="1">
      <alignment horizontal="right"/>
    </xf>
    <xf numFmtId="2" fontId="32" fillId="2" borderId="0" xfId="0" applyNumberFormat="1" applyFont="1" applyFill="1" applyAlignment="1">
      <alignment horizontal="left"/>
    </xf>
    <xf numFmtId="4" fontId="22" fillId="2" borderId="0" xfId="0" quotePrefix="1" applyNumberFormat="1" applyFont="1" applyFill="1" applyAlignment="1">
      <alignment horizontal="left"/>
    </xf>
    <xf numFmtId="0" fontId="22" fillId="2" borderId="1" xfId="0" applyFont="1" applyFill="1" applyBorder="1" applyAlignment="1">
      <alignment horizontal="center"/>
    </xf>
    <xf numFmtId="7" fontId="22" fillId="2" borderId="6" xfId="0" applyNumberFormat="1" applyFont="1" applyFill="1" applyBorder="1" applyAlignment="1">
      <alignment horizontal="right"/>
    </xf>
    <xf numFmtId="7" fontId="22" fillId="2" borderId="0" xfId="0" applyNumberFormat="1" applyFont="1" applyFill="1" applyAlignment="1">
      <alignment horizontal="right"/>
    </xf>
    <xf numFmtId="0" fontId="40" fillId="2" borderId="0" xfId="0" applyFont="1" applyFill="1" applyAlignment="1">
      <alignment horizontal="left"/>
    </xf>
    <xf numFmtId="0" fontId="26" fillId="2" borderId="0" xfId="0" applyFont="1" applyFill="1" applyAlignment="1">
      <alignment horizontal="left"/>
    </xf>
    <xf numFmtId="0" fontId="26" fillId="0" borderId="0" xfId="0" applyFont="1" applyAlignment="1">
      <alignment horizontal="left"/>
    </xf>
    <xf numFmtId="2" fontId="49" fillId="0" borderId="0" xfId="0" applyNumberFormat="1" applyFont="1" applyAlignment="1">
      <alignment horizontal="center" wrapText="1"/>
    </xf>
    <xf numFmtId="2" fontId="49" fillId="0" borderId="1" xfId="0" applyNumberFormat="1" applyFont="1" applyBorder="1" applyAlignment="1">
      <alignment horizontal="center" wrapText="1"/>
    </xf>
    <xf numFmtId="0" fontId="13" fillId="2" borderId="0" xfId="0" quotePrefix="1" applyFont="1" applyFill="1" applyAlignment="1">
      <alignment horizontal="center"/>
    </xf>
    <xf numFmtId="0" fontId="22" fillId="2" borderId="0" xfId="0" quotePrefix="1" applyFont="1" applyFill="1" applyAlignment="1"/>
    <xf numFmtId="0" fontId="22" fillId="2" borderId="0" xfId="0" applyFont="1" applyFill="1" applyAlignment="1"/>
    <xf numFmtId="7" fontId="22" fillId="9"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21">
    <dxf>
      <fill>
        <patternFill>
          <bgColor theme="0" tint="-0.14996795556505021"/>
        </patternFill>
      </fill>
    </dxf>
    <dxf>
      <fill>
        <patternFill>
          <bgColor rgb="FFFFFF66"/>
        </patternFill>
      </fill>
    </dxf>
    <dxf>
      <fill>
        <patternFill>
          <bgColor rgb="FFFFFF66"/>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3"/>
  <sheetViews>
    <sheetView topLeftCell="A58" workbookViewId="0"/>
  </sheetViews>
  <sheetFormatPr defaultColWidth="9.140625" defaultRowHeight="12.75" x14ac:dyDescent="0.2"/>
  <cols>
    <col min="1" max="1" width="23.42578125" style="188" customWidth="1"/>
    <col min="2" max="2" width="9.140625" style="188"/>
    <col min="3" max="3" width="14.85546875" style="191" bestFit="1" customWidth="1"/>
    <col min="4" max="5" width="18.42578125" style="191" customWidth="1"/>
    <col min="6" max="6" width="9.140625" style="191"/>
    <col min="7" max="7" width="14.7109375" style="191" bestFit="1" customWidth="1"/>
    <col min="8" max="9" width="18.42578125" style="191" bestFit="1" customWidth="1"/>
    <col min="10" max="10" width="9.140625" style="191"/>
    <col min="11" max="11" width="16.5703125" style="191" bestFit="1" customWidth="1"/>
    <col min="12" max="16384" width="9.140625" style="188"/>
  </cols>
  <sheetData>
    <row r="1" spans="1:17" x14ac:dyDescent="0.2">
      <c r="A1" s="382"/>
    </row>
    <row r="3" spans="1:17" x14ac:dyDescent="0.2">
      <c r="C3" s="750" t="s">
        <v>330</v>
      </c>
      <c r="D3" s="751"/>
      <c r="E3" s="752"/>
      <c r="G3" s="753" t="s">
        <v>331</v>
      </c>
      <c r="H3" s="753"/>
      <c r="I3" s="753"/>
      <c r="K3" s="316" t="s">
        <v>332</v>
      </c>
    </row>
    <row r="4" spans="1:17" x14ac:dyDescent="0.2">
      <c r="C4" s="383" t="s">
        <v>360</v>
      </c>
      <c r="D4" s="383" t="s">
        <v>361</v>
      </c>
      <c r="E4" s="384" t="s">
        <v>362</v>
      </c>
      <c r="F4" s="385"/>
      <c r="G4" s="383" t="s">
        <v>360</v>
      </c>
      <c r="H4" s="383" t="s">
        <v>361</v>
      </c>
      <c r="I4" s="384" t="s">
        <v>362</v>
      </c>
      <c r="J4" s="385"/>
      <c r="K4" s="383" t="s">
        <v>339</v>
      </c>
    </row>
    <row r="5" spans="1:17" x14ac:dyDescent="0.2">
      <c r="C5" s="385"/>
      <c r="D5" s="385"/>
      <c r="E5" s="385"/>
      <c r="F5" s="385"/>
      <c r="G5" s="385"/>
      <c r="H5" s="385"/>
      <c r="I5" s="385"/>
      <c r="J5" s="385"/>
      <c r="K5" s="385"/>
    </row>
    <row r="6" spans="1:17" x14ac:dyDescent="0.2">
      <c r="C6" s="385"/>
      <c r="D6" s="385"/>
      <c r="E6" s="385"/>
      <c r="F6" s="385"/>
      <c r="G6" s="385"/>
      <c r="H6" s="385"/>
      <c r="I6" s="385"/>
      <c r="J6" s="385"/>
      <c r="K6" s="385"/>
    </row>
    <row r="7" spans="1:17" x14ac:dyDescent="0.2">
      <c r="A7" s="386" t="s">
        <v>329</v>
      </c>
      <c r="B7" s="386"/>
      <c r="C7" s="387"/>
      <c r="D7" s="387"/>
      <c r="E7" s="387"/>
      <c r="F7" s="387"/>
      <c r="G7" s="387"/>
      <c r="H7" s="387"/>
      <c r="I7" s="387"/>
      <c r="J7" s="387"/>
      <c r="K7" s="387"/>
    </row>
    <row r="8" spans="1:17" x14ac:dyDescent="0.2">
      <c r="A8" s="388" t="s">
        <v>337</v>
      </c>
      <c r="C8" s="385">
        <v>42342</v>
      </c>
      <c r="D8" s="385"/>
      <c r="E8" s="385"/>
      <c r="F8" s="385"/>
      <c r="G8" s="385">
        <v>42459</v>
      </c>
      <c r="H8" s="385"/>
      <c r="I8" s="385"/>
      <c r="J8" s="385"/>
      <c r="K8" s="385">
        <v>42629</v>
      </c>
    </row>
    <row r="9" spans="1:17" x14ac:dyDescent="0.2">
      <c r="A9" s="388" t="s">
        <v>336</v>
      </c>
      <c r="C9" s="389">
        <v>42339</v>
      </c>
      <c r="D9" s="389"/>
      <c r="E9" s="389"/>
      <c r="F9" s="389"/>
      <c r="G9" s="389">
        <v>42491</v>
      </c>
      <c r="H9" s="389"/>
      <c r="I9" s="389"/>
      <c r="J9" s="389"/>
      <c r="K9" s="389">
        <v>42675</v>
      </c>
    </row>
    <row r="10" spans="1:17" x14ac:dyDescent="0.2">
      <c r="C10" s="385"/>
      <c r="D10" s="385"/>
      <c r="E10" s="385"/>
      <c r="F10" s="385"/>
      <c r="G10" s="385"/>
      <c r="H10" s="385"/>
      <c r="I10" s="385"/>
      <c r="J10" s="385"/>
      <c r="K10" s="385"/>
    </row>
    <row r="11" spans="1:17" x14ac:dyDescent="0.2">
      <c r="C11" s="385"/>
      <c r="D11" s="385"/>
      <c r="E11" s="385"/>
      <c r="F11" s="385"/>
      <c r="G11" s="385"/>
      <c r="H11" s="385"/>
      <c r="I11" s="385"/>
      <c r="J11" s="385"/>
      <c r="K11" s="385"/>
    </row>
    <row r="12" spans="1:17" x14ac:dyDescent="0.2">
      <c r="A12" s="390" t="s">
        <v>333</v>
      </c>
      <c r="B12" s="390"/>
      <c r="C12" s="391"/>
      <c r="D12" s="391"/>
      <c r="E12" s="391"/>
      <c r="F12" s="391"/>
      <c r="G12" s="391"/>
      <c r="H12" s="391"/>
      <c r="I12" s="391"/>
      <c r="J12" s="391"/>
      <c r="K12" s="391"/>
    </row>
    <row r="13" spans="1:17" x14ac:dyDescent="0.2">
      <c r="A13" s="388" t="s">
        <v>337</v>
      </c>
      <c r="C13" s="385">
        <v>42702</v>
      </c>
      <c r="D13" s="385"/>
      <c r="E13" s="385"/>
      <c r="F13" s="385"/>
      <c r="G13" s="385">
        <v>42817</v>
      </c>
      <c r="H13" s="385"/>
      <c r="I13" s="385"/>
      <c r="J13" s="385"/>
      <c r="K13" s="385">
        <v>42997</v>
      </c>
    </row>
    <row r="14" spans="1:17" x14ac:dyDescent="0.2">
      <c r="A14" s="388" t="s">
        <v>336</v>
      </c>
      <c r="C14" s="389">
        <v>42705</v>
      </c>
      <c r="D14" s="389"/>
      <c r="E14" s="389"/>
      <c r="F14" s="389"/>
      <c r="G14" s="389">
        <v>42826</v>
      </c>
      <c r="H14" s="389"/>
      <c r="I14" s="389"/>
      <c r="J14" s="389"/>
      <c r="K14" s="389">
        <v>43040</v>
      </c>
    </row>
    <row r="15" spans="1:17" x14ac:dyDescent="0.2">
      <c r="C15" s="385"/>
      <c r="D15" s="385"/>
      <c r="E15" s="385"/>
      <c r="F15" s="385"/>
      <c r="G15" s="385"/>
      <c r="H15" s="385"/>
      <c r="I15" s="385"/>
      <c r="J15" s="385"/>
      <c r="K15" s="385"/>
    </row>
    <row r="16" spans="1:17" x14ac:dyDescent="0.2">
      <c r="C16" s="385"/>
      <c r="D16" s="385"/>
      <c r="E16" s="385"/>
      <c r="F16" s="385"/>
      <c r="G16" s="385"/>
      <c r="H16" s="385"/>
      <c r="I16" s="385"/>
      <c r="J16" s="385"/>
      <c r="K16" s="385"/>
      <c r="Q16" s="295"/>
    </row>
    <row r="17" spans="1:18" x14ac:dyDescent="0.2">
      <c r="A17" s="392" t="s">
        <v>334</v>
      </c>
      <c r="B17" s="392"/>
      <c r="C17" s="393"/>
      <c r="D17" s="393"/>
      <c r="E17" s="393"/>
      <c r="F17" s="393"/>
      <c r="G17" s="393"/>
      <c r="H17" s="393"/>
      <c r="I17" s="393"/>
      <c r="J17" s="393"/>
      <c r="K17" s="393"/>
      <c r="Q17" s="295"/>
    </row>
    <row r="18" spans="1:18" x14ac:dyDescent="0.2">
      <c r="A18" s="388" t="s">
        <v>337</v>
      </c>
      <c r="C18" s="385">
        <v>43046</v>
      </c>
      <c r="D18" s="385"/>
      <c r="E18" s="385"/>
      <c r="F18" s="385"/>
      <c r="G18" s="385">
        <v>43218</v>
      </c>
      <c r="H18" s="385"/>
      <c r="I18" s="385"/>
      <c r="J18" s="385"/>
      <c r="K18" s="385">
        <v>43343</v>
      </c>
      <c r="R18" s="295"/>
    </row>
    <row r="19" spans="1:18" x14ac:dyDescent="0.2">
      <c r="A19" s="388" t="s">
        <v>340</v>
      </c>
      <c r="C19" s="385"/>
      <c r="D19" s="385"/>
      <c r="E19" s="385"/>
      <c r="F19" s="385"/>
      <c r="G19" s="385"/>
      <c r="H19" s="385"/>
      <c r="I19" s="385"/>
      <c r="J19" s="385"/>
      <c r="K19" s="394">
        <v>43647</v>
      </c>
      <c r="R19" s="295"/>
    </row>
    <row r="20" spans="1:18" x14ac:dyDescent="0.2">
      <c r="A20" s="388" t="s">
        <v>336</v>
      </c>
      <c r="C20" s="389">
        <v>43070</v>
      </c>
      <c r="D20" s="389"/>
      <c r="E20" s="389"/>
      <c r="F20" s="389"/>
      <c r="G20" s="389">
        <v>43221</v>
      </c>
      <c r="H20" s="389"/>
      <c r="I20" s="389"/>
      <c r="J20" s="389"/>
      <c r="K20" s="395">
        <v>43708</v>
      </c>
      <c r="R20" s="295"/>
    </row>
    <row r="21" spans="1:18" x14ac:dyDescent="0.2">
      <c r="C21" s="396" t="s">
        <v>338</v>
      </c>
      <c r="D21" s="396"/>
      <c r="E21" s="396"/>
      <c r="F21" s="385"/>
      <c r="G21" s="385"/>
      <c r="H21" s="385"/>
      <c r="I21" s="385"/>
      <c r="J21" s="385"/>
      <c r="K21" s="385"/>
    </row>
    <row r="22" spans="1:18" x14ac:dyDescent="0.2">
      <c r="C22" s="385"/>
      <c r="D22" s="385"/>
      <c r="E22" s="385"/>
      <c r="F22" s="385"/>
      <c r="G22" s="385"/>
      <c r="H22" s="385"/>
      <c r="I22" s="385"/>
      <c r="J22" s="385"/>
      <c r="K22" s="385"/>
    </row>
    <row r="23" spans="1:18" x14ac:dyDescent="0.2">
      <c r="A23" s="388" t="s">
        <v>337</v>
      </c>
      <c r="C23" s="385">
        <v>43102</v>
      </c>
      <c r="D23" s="385"/>
      <c r="E23" s="385"/>
      <c r="F23" s="385"/>
      <c r="G23" s="397" t="s">
        <v>344</v>
      </c>
      <c r="H23" s="397"/>
      <c r="I23" s="397"/>
      <c r="J23" s="385"/>
      <c r="K23" s="397" t="s">
        <v>344</v>
      </c>
    </row>
    <row r="24" spans="1:18" x14ac:dyDescent="0.2">
      <c r="A24" s="388" t="s">
        <v>336</v>
      </c>
      <c r="C24" s="389">
        <v>43132</v>
      </c>
      <c r="D24" s="389"/>
      <c r="E24" s="389"/>
      <c r="F24" s="389"/>
      <c r="G24" s="397" t="s">
        <v>344</v>
      </c>
      <c r="H24" s="397"/>
      <c r="I24" s="397"/>
      <c r="J24" s="389"/>
      <c r="K24" s="397" t="s">
        <v>344</v>
      </c>
    </row>
    <row r="25" spans="1:18" x14ac:dyDescent="0.2">
      <c r="C25" s="396" t="s">
        <v>332</v>
      </c>
      <c r="D25" s="396"/>
      <c r="E25" s="396"/>
      <c r="F25" s="385"/>
      <c r="G25" s="397" t="s">
        <v>344</v>
      </c>
      <c r="H25" s="397"/>
      <c r="I25" s="397"/>
      <c r="J25" s="385"/>
      <c r="K25" s="397" t="s">
        <v>344</v>
      </c>
    </row>
    <row r="26" spans="1:18" x14ac:dyDescent="0.2">
      <c r="C26" s="385"/>
      <c r="D26" s="385"/>
      <c r="E26" s="385"/>
      <c r="F26" s="385"/>
      <c r="G26" s="385"/>
      <c r="H26" s="385"/>
      <c r="I26" s="385"/>
      <c r="J26" s="385"/>
      <c r="K26" s="385"/>
    </row>
    <row r="27" spans="1:18" x14ac:dyDescent="0.2">
      <c r="C27" s="385"/>
      <c r="D27" s="385"/>
      <c r="E27" s="385"/>
      <c r="F27" s="385"/>
      <c r="G27" s="385"/>
      <c r="H27" s="385"/>
      <c r="I27" s="385"/>
      <c r="J27" s="385"/>
      <c r="K27" s="385"/>
    </row>
    <row r="28" spans="1:18" x14ac:dyDescent="0.2">
      <c r="A28" s="398" t="s">
        <v>335</v>
      </c>
      <c r="B28" s="399"/>
      <c r="C28" s="400"/>
      <c r="D28" s="400"/>
      <c r="E28" s="400"/>
      <c r="F28" s="400"/>
      <c r="G28" s="400"/>
      <c r="H28" s="400"/>
      <c r="I28" s="400"/>
      <c r="J28" s="400"/>
      <c r="K28" s="400"/>
    </row>
    <row r="29" spans="1:18" x14ac:dyDescent="0.2">
      <c r="A29" s="388" t="s">
        <v>337</v>
      </c>
      <c r="C29" s="385">
        <v>43468</v>
      </c>
      <c r="D29" s="397" t="s">
        <v>344</v>
      </c>
      <c r="E29" s="397"/>
      <c r="F29" s="385"/>
      <c r="G29" s="385">
        <v>43538</v>
      </c>
      <c r="H29" s="397" t="s">
        <v>344</v>
      </c>
      <c r="I29" s="397"/>
      <c r="J29" s="385"/>
      <c r="K29" s="385">
        <v>43713</v>
      </c>
    </row>
    <row r="30" spans="1:18" x14ac:dyDescent="0.2">
      <c r="A30" s="388" t="s">
        <v>340</v>
      </c>
      <c r="C30" s="385">
        <v>43476</v>
      </c>
      <c r="D30" s="385"/>
      <c r="E30" s="385"/>
      <c r="F30" s="385"/>
      <c r="G30" s="385">
        <v>43595</v>
      </c>
      <c r="H30" s="385">
        <v>43726</v>
      </c>
      <c r="I30" s="385">
        <v>43648</v>
      </c>
      <c r="J30" s="385"/>
      <c r="K30" s="385">
        <v>43773</v>
      </c>
    </row>
    <row r="31" spans="1:18" x14ac:dyDescent="0.2">
      <c r="A31" s="388" t="s">
        <v>336</v>
      </c>
      <c r="C31" s="389">
        <v>43497</v>
      </c>
      <c r="D31" s="389">
        <v>43525</v>
      </c>
      <c r="E31" s="389"/>
      <c r="F31" s="389"/>
      <c r="G31" s="389">
        <v>43617</v>
      </c>
      <c r="H31" s="389">
        <v>43770</v>
      </c>
      <c r="I31" s="389">
        <v>43656</v>
      </c>
      <c r="J31" s="389"/>
      <c r="K31" s="389">
        <v>43770</v>
      </c>
    </row>
    <row r="32" spans="1:18" x14ac:dyDescent="0.2">
      <c r="C32" s="385"/>
      <c r="D32" s="385"/>
      <c r="E32" s="385"/>
      <c r="F32" s="385"/>
      <c r="G32" s="385"/>
      <c r="H32" s="385" t="s">
        <v>369</v>
      </c>
      <c r="I32" s="385" t="s">
        <v>370</v>
      </c>
      <c r="J32" s="385"/>
      <c r="K32" s="385"/>
    </row>
    <row r="33" spans="1:11" x14ac:dyDescent="0.2">
      <c r="C33" s="385"/>
      <c r="D33" s="385"/>
      <c r="E33" s="385"/>
      <c r="F33" s="385"/>
      <c r="G33" s="385"/>
      <c r="H33" s="385"/>
      <c r="I33" s="385"/>
      <c r="J33" s="385"/>
      <c r="K33" s="385"/>
    </row>
    <row r="34" spans="1:11" x14ac:dyDescent="0.2">
      <c r="A34" s="401" t="s">
        <v>357</v>
      </c>
      <c r="B34" s="402"/>
      <c r="C34" s="403"/>
      <c r="D34" s="403"/>
      <c r="E34" s="403"/>
      <c r="F34" s="403"/>
      <c r="G34" s="403"/>
      <c r="H34" s="403"/>
      <c r="I34" s="403"/>
      <c r="J34" s="403"/>
      <c r="K34" s="403"/>
    </row>
    <row r="35" spans="1:11" x14ac:dyDescent="0.2">
      <c r="A35" s="231" t="s">
        <v>368</v>
      </c>
      <c r="C35" s="385">
        <v>43775</v>
      </c>
      <c r="D35" s="385"/>
      <c r="E35" s="385"/>
      <c r="F35" s="385"/>
      <c r="G35" s="385"/>
      <c r="H35" s="385"/>
      <c r="I35" s="385"/>
      <c r="J35" s="385"/>
      <c r="K35" s="385"/>
    </row>
    <row r="36" spans="1:11" x14ac:dyDescent="0.2">
      <c r="A36" s="388" t="s">
        <v>340</v>
      </c>
      <c r="C36" s="385">
        <v>43788</v>
      </c>
      <c r="D36" s="385"/>
      <c r="E36" s="385"/>
      <c r="F36" s="385"/>
      <c r="G36" s="385"/>
      <c r="H36" s="385"/>
      <c r="I36" s="385"/>
      <c r="J36" s="385"/>
      <c r="K36" s="385"/>
    </row>
    <row r="37" spans="1:11" x14ac:dyDescent="0.2">
      <c r="A37" s="388" t="s">
        <v>336</v>
      </c>
      <c r="C37" s="389">
        <v>43830</v>
      </c>
      <c r="D37" s="389"/>
      <c r="E37" s="389"/>
      <c r="F37" s="389"/>
      <c r="G37" s="389"/>
      <c r="H37" s="389"/>
      <c r="I37" s="389"/>
      <c r="J37" s="389"/>
      <c r="K37" s="389"/>
    </row>
    <row r="38" spans="1:11" x14ac:dyDescent="0.2">
      <c r="C38" s="396" t="s">
        <v>338</v>
      </c>
      <c r="D38" s="385"/>
      <c r="E38" s="385"/>
      <c r="F38" s="385"/>
      <c r="G38" s="385"/>
      <c r="H38" s="385"/>
      <c r="I38" s="385"/>
      <c r="J38" s="385"/>
      <c r="K38" s="385"/>
    </row>
    <row r="39" spans="1:11" x14ac:dyDescent="0.2">
      <c r="C39" s="385"/>
      <c r="D39" s="385"/>
      <c r="E39" s="385"/>
      <c r="F39" s="385"/>
      <c r="G39" s="385"/>
      <c r="H39" s="385"/>
      <c r="I39" s="385"/>
      <c r="J39" s="385"/>
      <c r="K39" s="385"/>
    </row>
    <row r="40" spans="1:11" x14ac:dyDescent="0.2">
      <c r="A40" s="231" t="s">
        <v>368</v>
      </c>
      <c r="C40" s="385">
        <v>43833</v>
      </c>
      <c r="D40" s="385">
        <v>43853</v>
      </c>
      <c r="E40" s="385">
        <v>43853</v>
      </c>
      <c r="F40" s="385"/>
      <c r="G40" s="385">
        <v>43895</v>
      </c>
      <c r="H40" s="385">
        <v>43906</v>
      </c>
      <c r="I40" s="385">
        <v>43906</v>
      </c>
      <c r="J40" s="385"/>
      <c r="K40" s="385">
        <v>44028</v>
      </c>
    </row>
    <row r="41" spans="1:11" x14ac:dyDescent="0.2">
      <c r="A41" s="388" t="s">
        <v>340</v>
      </c>
      <c r="C41" s="385">
        <v>43859</v>
      </c>
      <c r="D41" s="385">
        <v>43858</v>
      </c>
      <c r="E41" s="385">
        <v>43858</v>
      </c>
      <c r="F41" s="385"/>
      <c r="G41" s="385">
        <v>43906</v>
      </c>
      <c r="H41" s="385">
        <v>43950</v>
      </c>
      <c r="I41" s="385">
        <v>43950</v>
      </c>
      <c r="J41" s="385"/>
      <c r="K41" s="385">
        <v>44075</v>
      </c>
    </row>
    <row r="42" spans="1:11" x14ac:dyDescent="0.2">
      <c r="A42" s="388" t="s">
        <v>336</v>
      </c>
      <c r="C42" s="389">
        <v>43889</v>
      </c>
      <c r="D42" s="389">
        <v>43889</v>
      </c>
      <c r="E42" s="389">
        <v>43889</v>
      </c>
      <c r="F42" s="385"/>
      <c r="G42" s="389">
        <v>43951</v>
      </c>
      <c r="H42" s="389">
        <v>43982</v>
      </c>
      <c r="I42" s="389">
        <v>43982</v>
      </c>
      <c r="J42" s="385"/>
      <c r="K42" s="389">
        <v>44166</v>
      </c>
    </row>
    <row r="43" spans="1:11" x14ac:dyDescent="0.2">
      <c r="A43" s="388" t="s">
        <v>381</v>
      </c>
      <c r="C43" s="396" t="s">
        <v>332</v>
      </c>
      <c r="D43" s="385" t="s">
        <v>371</v>
      </c>
      <c r="E43" s="385" t="s">
        <v>372</v>
      </c>
      <c r="F43" s="385"/>
      <c r="G43" s="385"/>
      <c r="H43" s="385" t="s">
        <v>373</v>
      </c>
      <c r="I43" s="385" t="s">
        <v>374</v>
      </c>
      <c r="J43" s="385"/>
      <c r="K43" s="385"/>
    </row>
    <row r="44" spans="1:11" x14ac:dyDescent="0.2">
      <c r="C44" s="385"/>
      <c r="D44" s="385"/>
      <c r="E44" s="385"/>
      <c r="F44" s="385"/>
      <c r="G44" s="385"/>
      <c r="H44" s="385"/>
      <c r="I44" s="385"/>
      <c r="J44" s="385"/>
      <c r="K44" s="385"/>
    </row>
    <row r="45" spans="1:11" x14ac:dyDescent="0.2">
      <c r="C45" s="385"/>
      <c r="D45" s="385"/>
      <c r="E45" s="385"/>
      <c r="F45" s="385"/>
      <c r="G45" s="385"/>
      <c r="H45" s="385"/>
      <c r="I45" s="385"/>
      <c r="J45" s="385"/>
      <c r="K45" s="385"/>
    </row>
    <row r="46" spans="1:11" x14ac:dyDescent="0.2">
      <c r="A46" s="404" t="s">
        <v>379</v>
      </c>
      <c r="B46" s="405"/>
      <c r="C46" s="406"/>
      <c r="D46" s="406"/>
      <c r="E46" s="406"/>
      <c r="F46" s="406"/>
      <c r="G46" s="406"/>
      <c r="H46" s="406"/>
      <c r="I46" s="406"/>
      <c r="J46" s="406"/>
      <c r="K46" s="406"/>
    </row>
    <row r="47" spans="1:11" x14ac:dyDescent="0.2">
      <c r="C47" s="385"/>
      <c r="D47" s="385"/>
      <c r="E47" s="385"/>
      <c r="F47" s="385"/>
      <c r="G47" s="385"/>
      <c r="H47" s="385"/>
      <c r="I47" s="385"/>
      <c r="J47" s="385"/>
      <c r="K47" s="385"/>
    </row>
    <row r="48" spans="1:11" x14ac:dyDescent="0.2">
      <c r="A48" s="231" t="s">
        <v>368</v>
      </c>
      <c r="C48" s="385">
        <v>44147</v>
      </c>
      <c r="D48" s="385">
        <v>44314</v>
      </c>
      <c r="E48" s="385">
        <v>44314</v>
      </c>
      <c r="F48" s="385"/>
      <c r="G48" s="385">
        <v>44307</v>
      </c>
      <c r="H48" s="385">
        <v>44314</v>
      </c>
      <c r="I48" s="385">
        <v>44314</v>
      </c>
      <c r="J48" s="385"/>
      <c r="K48" s="385">
        <v>44875</v>
      </c>
    </row>
    <row r="49" spans="1:11" x14ac:dyDescent="0.2">
      <c r="A49" s="388" t="s">
        <v>340</v>
      </c>
      <c r="C49" s="385">
        <v>44151</v>
      </c>
      <c r="D49" s="385">
        <v>44316</v>
      </c>
      <c r="E49" s="385">
        <v>44316</v>
      </c>
      <c r="F49" s="385"/>
      <c r="G49" s="385">
        <v>44314</v>
      </c>
      <c r="H49" s="385">
        <v>44319</v>
      </c>
      <c r="I49" s="385">
        <v>44319</v>
      </c>
      <c r="J49" s="385"/>
      <c r="K49" s="385">
        <v>44565</v>
      </c>
    </row>
    <row r="50" spans="1:11" x14ac:dyDescent="0.2">
      <c r="A50" s="388" t="s">
        <v>336</v>
      </c>
      <c r="C50" s="389">
        <v>44317</v>
      </c>
      <c r="D50" s="389">
        <v>44347</v>
      </c>
      <c r="E50" s="389">
        <v>44347</v>
      </c>
      <c r="F50" s="385"/>
      <c r="G50" s="389">
        <v>44347</v>
      </c>
      <c r="H50" s="389">
        <v>44347</v>
      </c>
      <c r="I50" s="389">
        <v>44347</v>
      </c>
      <c r="J50" s="385"/>
      <c r="K50" s="389">
        <v>44613</v>
      </c>
    </row>
    <row r="51" spans="1:11" x14ac:dyDescent="0.2">
      <c r="A51" s="388" t="s">
        <v>381</v>
      </c>
      <c r="C51" s="389"/>
      <c r="D51" s="389" t="s">
        <v>385</v>
      </c>
      <c r="E51" s="389" t="s">
        <v>386</v>
      </c>
      <c r="F51" s="385"/>
      <c r="G51" s="389"/>
      <c r="H51" s="389" t="s">
        <v>383</v>
      </c>
      <c r="I51" s="389" t="s">
        <v>384</v>
      </c>
      <c r="J51" s="385"/>
      <c r="K51" s="385"/>
    </row>
    <row r="52" spans="1:11" x14ac:dyDescent="0.2">
      <c r="C52" s="385"/>
      <c r="D52" s="385"/>
      <c r="E52" s="385"/>
      <c r="F52" s="385"/>
      <c r="G52" s="385"/>
      <c r="H52" s="385"/>
      <c r="I52" s="385"/>
      <c r="J52" s="385"/>
      <c r="K52" s="385"/>
    </row>
    <row r="53" spans="1:11" x14ac:dyDescent="0.2">
      <c r="C53" s="385"/>
      <c r="D53" s="385"/>
      <c r="E53" s="385"/>
      <c r="F53" s="385"/>
      <c r="G53" s="385"/>
      <c r="H53" s="385"/>
      <c r="I53" s="385"/>
      <c r="J53" s="385"/>
      <c r="K53" s="385"/>
    </row>
    <row r="54" spans="1:11" x14ac:dyDescent="0.2">
      <c r="A54" s="416" t="s">
        <v>390</v>
      </c>
      <c r="B54" s="417"/>
      <c r="C54" s="418"/>
      <c r="D54" s="418"/>
      <c r="E54" s="418"/>
      <c r="F54" s="418"/>
      <c r="G54" s="418"/>
      <c r="H54" s="418"/>
      <c r="I54" s="418"/>
      <c r="J54" s="418"/>
      <c r="K54" s="418"/>
    </row>
    <row r="55" spans="1:11" x14ac:dyDescent="0.2">
      <c r="C55" s="385"/>
      <c r="D55" s="385"/>
      <c r="E55" s="385"/>
      <c r="F55" s="385"/>
      <c r="G55" s="385"/>
      <c r="H55" s="385"/>
      <c r="I55" s="385"/>
      <c r="J55" s="385"/>
      <c r="K55" s="385"/>
    </row>
    <row r="56" spans="1:11" x14ac:dyDescent="0.2">
      <c r="A56" s="231" t="s">
        <v>368</v>
      </c>
      <c r="C56" s="385">
        <v>44518</v>
      </c>
      <c r="D56" s="397" t="s">
        <v>394</v>
      </c>
      <c r="E56" s="385" t="s">
        <v>393</v>
      </c>
      <c r="F56" s="385"/>
      <c r="G56" s="385">
        <v>44630</v>
      </c>
      <c r="H56" s="397" t="s">
        <v>402</v>
      </c>
      <c r="I56" s="397" t="s">
        <v>403</v>
      </c>
      <c r="J56" s="385"/>
      <c r="K56" s="385">
        <v>44834</v>
      </c>
    </row>
    <row r="57" spans="1:11" x14ac:dyDescent="0.2">
      <c r="A57" s="388" t="s">
        <v>340</v>
      </c>
      <c r="C57" s="385">
        <v>44565</v>
      </c>
      <c r="D57" s="385">
        <v>44580</v>
      </c>
      <c r="E57" s="385">
        <v>44580</v>
      </c>
      <c r="F57" s="385"/>
      <c r="G57" s="385">
        <v>44684</v>
      </c>
      <c r="H57" s="385">
        <v>44691</v>
      </c>
      <c r="I57" s="385">
        <v>44691</v>
      </c>
      <c r="J57" s="385"/>
      <c r="K57" s="385">
        <v>44893</v>
      </c>
    </row>
    <row r="58" spans="1:11" x14ac:dyDescent="0.2">
      <c r="A58" s="388" t="s">
        <v>336</v>
      </c>
      <c r="C58" s="389">
        <v>44562</v>
      </c>
      <c r="D58" s="389">
        <v>44620</v>
      </c>
      <c r="E58" s="389">
        <v>44620</v>
      </c>
      <c r="F58" s="385"/>
      <c r="G58" s="389">
        <v>44712</v>
      </c>
      <c r="H58" s="389">
        <v>44742</v>
      </c>
      <c r="I58" s="389">
        <v>44742</v>
      </c>
      <c r="J58" s="385"/>
      <c r="K58" s="389">
        <v>44926</v>
      </c>
    </row>
    <row r="59" spans="1:11" x14ac:dyDescent="0.2">
      <c r="A59" s="388" t="s">
        <v>381</v>
      </c>
      <c r="C59" s="397" t="s">
        <v>344</v>
      </c>
      <c r="D59" s="419" t="s">
        <v>392</v>
      </c>
      <c r="E59" s="419" t="s">
        <v>386</v>
      </c>
      <c r="F59" s="385"/>
      <c r="G59" s="397" t="s">
        <v>344</v>
      </c>
      <c r="H59" s="419" t="s">
        <v>400</v>
      </c>
      <c r="I59" s="419" t="s">
        <v>401</v>
      </c>
      <c r="J59" s="385"/>
      <c r="K59" s="397" t="s">
        <v>344</v>
      </c>
    </row>
    <row r="60" spans="1:11" x14ac:dyDescent="0.2">
      <c r="A60" s="388"/>
      <c r="C60" s="396" t="s">
        <v>338</v>
      </c>
      <c r="D60" s="389"/>
      <c r="E60" s="389"/>
      <c r="F60" s="385"/>
      <c r="G60" s="389"/>
      <c r="H60" s="389"/>
      <c r="I60" s="389"/>
      <c r="J60" s="385"/>
      <c r="K60" s="385"/>
    </row>
    <row r="61" spans="1:11" x14ac:dyDescent="0.2">
      <c r="A61" s="388"/>
      <c r="C61" s="389"/>
      <c r="D61" s="389"/>
      <c r="E61" s="389"/>
      <c r="F61" s="385"/>
      <c r="G61" s="389"/>
      <c r="H61" s="389"/>
      <c r="I61" s="389"/>
      <c r="J61" s="385"/>
      <c r="K61" s="385"/>
    </row>
    <row r="62" spans="1:11" x14ac:dyDescent="0.2">
      <c r="A62" s="231" t="s">
        <v>337</v>
      </c>
      <c r="C62" s="385">
        <v>44574</v>
      </c>
      <c r="D62" s="389"/>
      <c r="E62" s="389"/>
      <c r="F62" s="385"/>
      <c r="G62" s="385"/>
      <c r="H62" s="389"/>
      <c r="I62" s="389"/>
      <c r="J62" s="385"/>
      <c r="K62" s="385"/>
    </row>
    <row r="63" spans="1:11" x14ac:dyDescent="0.2">
      <c r="A63" s="388" t="s">
        <v>340</v>
      </c>
      <c r="C63" s="385">
        <v>44579</v>
      </c>
      <c r="D63" s="389"/>
      <c r="E63" s="389"/>
      <c r="F63" s="385"/>
      <c r="G63" s="385"/>
      <c r="H63" s="389"/>
      <c r="I63" s="389"/>
      <c r="J63" s="385"/>
      <c r="K63" s="385"/>
    </row>
    <row r="64" spans="1:11" x14ac:dyDescent="0.2">
      <c r="A64" s="388" t="s">
        <v>336</v>
      </c>
      <c r="C64" s="389">
        <v>44620</v>
      </c>
      <c r="D64" s="389"/>
      <c r="E64" s="389"/>
      <c r="F64" s="385"/>
      <c r="G64" s="389"/>
      <c r="H64" s="389"/>
      <c r="I64" s="389"/>
      <c r="J64" s="385"/>
      <c r="K64" s="385"/>
    </row>
    <row r="65" spans="1:11" x14ac:dyDescent="0.2">
      <c r="A65" s="388"/>
      <c r="C65" s="396" t="s">
        <v>332</v>
      </c>
      <c r="D65" s="389"/>
      <c r="E65" s="389"/>
      <c r="F65" s="385"/>
      <c r="G65" s="389"/>
      <c r="H65" s="389"/>
      <c r="I65" s="389"/>
      <c r="J65" s="385"/>
      <c r="K65" s="385"/>
    </row>
    <row r="66" spans="1:11" x14ac:dyDescent="0.2">
      <c r="A66" s="388"/>
      <c r="C66" s="396"/>
      <c r="D66" s="389"/>
      <c r="E66" s="389"/>
      <c r="F66" s="385"/>
      <c r="G66" s="389"/>
      <c r="H66" s="389"/>
      <c r="I66" s="389"/>
      <c r="J66" s="385"/>
      <c r="K66" s="385"/>
    </row>
    <row r="67" spans="1:11" x14ac:dyDescent="0.2">
      <c r="A67" s="429" t="s">
        <v>416</v>
      </c>
      <c r="B67" s="430"/>
      <c r="C67" s="431"/>
      <c r="D67" s="431"/>
      <c r="E67" s="431"/>
      <c r="F67" s="431"/>
      <c r="G67" s="431"/>
      <c r="H67" s="431"/>
      <c r="I67" s="431"/>
      <c r="J67" s="431"/>
      <c r="K67" s="431"/>
    </row>
    <row r="68" spans="1:11" x14ac:dyDescent="0.2">
      <c r="C68" s="385"/>
      <c r="D68" s="385"/>
      <c r="E68" s="385"/>
      <c r="F68" s="385"/>
      <c r="G68" s="385"/>
      <c r="H68" s="385"/>
      <c r="I68" s="385"/>
      <c r="J68" s="385"/>
      <c r="K68" s="385"/>
    </row>
    <row r="69" spans="1:11" x14ac:dyDescent="0.2">
      <c r="A69" s="231" t="s">
        <v>368</v>
      </c>
      <c r="C69" s="385">
        <v>44874</v>
      </c>
      <c r="D69" s="397" t="s">
        <v>417</v>
      </c>
      <c r="E69" s="385" t="s">
        <v>418</v>
      </c>
      <c r="F69" s="385"/>
      <c r="G69" s="385">
        <v>45008</v>
      </c>
      <c r="H69" s="397" t="s">
        <v>430</v>
      </c>
      <c r="I69" s="397" t="s">
        <v>429</v>
      </c>
      <c r="J69" s="385"/>
      <c r="K69" s="385">
        <v>45199</v>
      </c>
    </row>
    <row r="70" spans="1:11" x14ac:dyDescent="0.2">
      <c r="A70" s="388" t="s">
        <v>340</v>
      </c>
      <c r="C70" s="385">
        <v>44896</v>
      </c>
      <c r="D70" s="385">
        <v>44938</v>
      </c>
      <c r="E70" s="385">
        <v>44938</v>
      </c>
      <c r="F70" s="385"/>
      <c r="G70" s="385">
        <v>45020</v>
      </c>
      <c r="H70" s="385">
        <v>45027</v>
      </c>
      <c r="I70" s="385">
        <v>45027</v>
      </c>
      <c r="J70" s="385"/>
      <c r="K70" s="385">
        <v>45258</v>
      </c>
    </row>
    <row r="71" spans="1:11" x14ac:dyDescent="0.2">
      <c r="A71" s="388" t="s">
        <v>336</v>
      </c>
      <c r="C71" s="389">
        <v>44957</v>
      </c>
      <c r="D71" s="389">
        <v>44980</v>
      </c>
      <c r="E71" s="389">
        <v>44980</v>
      </c>
      <c r="F71" s="385"/>
      <c r="G71" s="389">
        <v>45039</v>
      </c>
      <c r="H71" s="389">
        <v>45077</v>
      </c>
      <c r="I71" s="389">
        <v>45077</v>
      </c>
      <c r="J71" s="385"/>
      <c r="K71" s="389">
        <v>45261</v>
      </c>
    </row>
    <row r="72" spans="1:11" x14ac:dyDescent="0.2">
      <c r="A72" s="388" t="s">
        <v>381</v>
      </c>
      <c r="C72" s="397" t="s">
        <v>344</v>
      </c>
      <c r="D72" s="419" t="s">
        <v>419</v>
      </c>
      <c r="E72" s="419" t="s">
        <v>420</v>
      </c>
      <c r="F72" s="385"/>
      <c r="G72" s="397" t="s">
        <v>344</v>
      </c>
      <c r="H72" s="419" t="s">
        <v>431</v>
      </c>
      <c r="I72" s="419" t="s">
        <v>432</v>
      </c>
      <c r="J72" s="385"/>
    </row>
    <row r="73" spans="1:11" x14ac:dyDescent="0.2">
      <c r="C73" s="407"/>
      <c r="D73" s="407"/>
      <c r="E73" s="407"/>
      <c r="F73" s="407"/>
      <c r="G73" s="407"/>
      <c r="H73" s="407"/>
      <c r="I73" s="407"/>
      <c r="J73" s="407"/>
      <c r="K73" s="407"/>
    </row>
    <row r="74" spans="1:11" x14ac:dyDescent="0.2">
      <c r="C74" s="407"/>
      <c r="D74" s="407"/>
      <c r="E74" s="407"/>
      <c r="F74" s="407"/>
      <c r="G74" s="407"/>
      <c r="H74" s="407"/>
      <c r="I74" s="407"/>
      <c r="J74" s="407"/>
      <c r="K74" s="407"/>
    </row>
    <row r="75" spans="1:11" x14ac:dyDescent="0.2">
      <c r="A75" s="551" t="s">
        <v>533</v>
      </c>
      <c r="B75" s="552"/>
      <c r="C75" s="553"/>
      <c r="D75" s="553"/>
      <c r="E75" s="553"/>
      <c r="F75" s="553"/>
      <c r="G75" s="553"/>
      <c r="H75" s="553"/>
      <c r="I75" s="553"/>
      <c r="J75" s="553"/>
      <c r="K75" s="553"/>
    </row>
    <row r="76" spans="1:11" x14ac:dyDescent="0.2">
      <c r="C76" s="407"/>
      <c r="D76" s="407"/>
      <c r="E76" s="407"/>
      <c r="F76" s="407"/>
      <c r="G76" s="407"/>
      <c r="H76" s="407"/>
      <c r="I76" s="407"/>
      <c r="J76" s="407"/>
      <c r="K76" s="407"/>
    </row>
    <row r="77" spans="1:11" x14ac:dyDescent="0.2">
      <c r="A77" s="231" t="s">
        <v>368</v>
      </c>
      <c r="C77" s="385">
        <v>45239</v>
      </c>
      <c r="D77" s="397">
        <v>45295</v>
      </c>
      <c r="E77" s="397">
        <v>45295</v>
      </c>
      <c r="F77" s="407"/>
      <c r="G77" s="407" t="s">
        <v>565</v>
      </c>
      <c r="H77" s="407">
        <v>45384</v>
      </c>
      <c r="I77" s="407">
        <v>45384</v>
      </c>
      <c r="J77" s="407"/>
      <c r="K77" s="407">
        <v>45586</v>
      </c>
    </row>
    <row r="78" spans="1:11" x14ac:dyDescent="0.2">
      <c r="A78" s="388" t="s">
        <v>340</v>
      </c>
      <c r="C78" s="385">
        <v>45261</v>
      </c>
      <c r="D78" s="407">
        <v>45302</v>
      </c>
      <c r="E78" s="407">
        <v>45302</v>
      </c>
      <c r="F78" s="407"/>
      <c r="G78" s="407" t="s">
        <v>566</v>
      </c>
      <c r="H78" s="407">
        <v>45435</v>
      </c>
      <c r="I78" s="407">
        <v>45435</v>
      </c>
      <c r="J78" s="407"/>
      <c r="K78" s="407">
        <v>45589</v>
      </c>
    </row>
    <row r="79" spans="1:11" x14ac:dyDescent="0.2">
      <c r="A79" s="388" t="s">
        <v>336</v>
      </c>
      <c r="C79" s="389">
        <v>45292</v>
      </c>
      <c r="D79" s="580" t="s">
        <v>606</v>
      </c>
      <c r="E79" s="580" t="s">
        <v>606</v>
      </c>
      <c r="F79" s="407"/>
      <c r="G79" s="591" t="s">
        <v>567</v>
      </c>
      <c r="H79" s="598" t="s">
        <v>573</v>
      </c>
      <c r="I79" s="598" t="s">
        <v>573</v>
      </c>
      <c r="J79" s="407"/>
      <c r="K79" s="407">
        <v>45597</v>
      </c>
    </row>
    <row r="80" spans="1:11" x14ac:dyDescent="0.2">
      <c r="A80" s="388" t="s">
        <v>381</v>
      </c>
      <c r="C80" s="397" t="s">
        <v>344</v>
      </c>
      <c r="D80" s="407" t="s">
        <v>555</v>
      </c>
      <c r="E80" s="407" t="s">
        <v>568</v>
      </c>
      <c r="F80" s="407"/>
      <c r="G80" s="397" t="s">
        <v>344</v>
      </c>
      <c r="H80" s="407" t="s">
        <v>569</v>
      </c>
      <c r="I80" s="407" t="s">
        <v>570</v>
      </c>
      <c r="J80" s="407"/>
      <c r="K80" s="407"/>
    </row>
    <row r="81" spans="1:11" x14ac:dyDescent="0.2">
      <c r="C81" s="407"/>
      <c r="D81" s="407"/>
      <c r="E81" s="407"/>
      <c r="F81" s="407"/>
      <c r="G81" s="407"/>
      <c r="H81" s="407"/>
      <c r="I81" s="407"/>
      <c r="J81" s="407"/>
      <c r="K81" s="407"/>
    </row>
    <row r="82" spans="1:11" x14ac:dyDescent="0.2">
      <c r="C82" s="407"/>
      <c r="D82" s="407"/>
      <c r="E82" s="407"/>
      <c r="F82" s="407"/>
      <c r="G82" s="407"/>
      <c r="H82" s="407"/>
      <c r="I82" s="407"/>
      <c r="J82" s="407"/>
      <c r="K82" s="407"/>
    </row>
    <row r="83" spans="1:11" x14ac:dyDescent="0.2">
      <c r="A83" s="603" t="s">
        <v>575</v>
      </c>
      <c r="B83" s="604"/>
      <c r="C83" s="605"/>
      <c r="D83" s="605"/>
      <c r="E83" s="605"/>
      <c r="F83" s="605"/>
      <c r="G83" s="605"/>
      <c r="H83" s="605"/>
      <c r="I83" s="605"/>
      <c r="J83" s="605"/>
      <c r="K83" s="605"/>
    </row>
    <row r="84" spans="1:11" x14ac:dyDescent="0.2">
      <c r="C84" s="407"/>
      <c r="D84" s="407"/>
      <c r="E84" s="407"/>
      <c r="F84" s="407"/>
      <c r="G84" s="407"/>
      <c r="H84" s="407"/>
      <c r="I84" s="407"/>
      <c r="J84" s="407"/>
      <c r="K84" s="407"/>
    </row>
    <row r="85" spans="1:11" x14ac:dyDescent="0.2">
      <c r="A85" s="231" t="s">
        <v>368</v>
      </c>
      <c r="C85" s="407">
        <v>45602</v>
      </c>
      <c r="D85" s="407" t="s">
        <v>600</v>
      </c>
      <c r="E85" s="407" t="s">
        <v>600</v>
      </c>
      <c r="F85" s="407"/>
      <c r="G85" s="407"/>
      <c r="H85" s="407"/>
      <c r="I85" s="407"/>
      <c r="J85" s="407"/>
      <c r="K85" s="407"/>
    </row>
    <row r="86" spans="1:11" x14ac:dyDescent="0.2">
      <c r="A86" s="388" t="s">
        <v>340</v>
      </c>
      <c r="C86" s="407">
        <v>45614</v>
      </c>
      <c r="D86" s="407">
        <v>45674</v>
      </c>
      <c r="E86" s="407">
        <v>45674</v>
      </c>
      <c r="F86" s="407"/>
      <c r="G86" s="407"/>
      <c r="H86" s="407"/>
      <c r="I86" s="407"/>
      <c r="J86" s="407"/>
      <c r="K86" s="407"/>
    </row>
    <row r="87" spans="1:11" x14ac:dyDescent="0.2">
      <c r="A87" s="388" t="s">
        <v>336</v>
      </c>
      <c r="C87" s="407" t="s">
        <v>598</v>
      </c>
      <c r="D87" s="407" t="s">
        <v>610</v>
      </c>
      <c r="E87" s="407" t="s">
        <v>610</v>
      </c>
      <c r="F87" s="407"/>
      <c r="G87" s="407"/>
      <c r="H87" s="407"/>
      <c r="I87" s="407"/>
      <c r="J87" s="407"/>
      <c r="K87" s="407"/>
    </row>
    <row r="88" spans="1:11" x14ac:dyDescent="0.2">
      <c r="A88" s="388" t="s">
        <v>381</v>
      </c>
      <c r="C88" s="397" t="s">
        <v>344</v>
      </c>
      <c r="D88" s="407" t="s">
        <v>601</v>
      </c>
      <c r="E88" s="407" t="s">
        <v>599</v>
      </c>
      <c r="F88" s="407"/>
      <c r="G88" s="407"/>
      <c r="H88" s="407"/>
      <c r="I88" s="407"/>
      <c r="J88" s="407"/>
      <c r="K88" s="407"/>
    </row>
    <row r="89" spans="1:11" x14ac:dyDescent="0.2">
      <c r="C89" s="407"/>
      <c r="D89" s="407"/>
      <c r="E89" s="407"/>
      <c r="F89" s="407"/>
      <c r="G89" s="407"/>
      <c r="H89" s="407"/>
      <c r="I89" s="407"/>
      <c r="J89" s="407"/>
      <c r="K89" s="407"/>
    </row>
    <row r="90" spans="1:11" x14ac:dyDescent="0.2">
      <c r="C90" s="407"/>
      <c r="D90" s="407"/>
      <c r="E90" s="407"/>
      <c r="F90" s="407"/>
      <c r="G90" s="407"/>
      <c r="H90" s="407"/>
      <c r="I90" s="407"/>
      <c r="J90" s="407"/>
      <c r="K90" s="407"/>
    </row>
    <row r="91" spans="1:11" x14ac:dyDescent="0.2">
      <c r="C91" s="407"/>
      <c r="D91" s="407"/>
      <c r="E91" s="407"/>
      <c r="F91" s="407"/>
      <c r="G91" s="407"/>
      <c r="H91" s="407"/>
      <c r="I91" s="407"/>
      <c r="J91" s="407"/>
      <c r="K91" s="407"/>
    </row>
    <row r="92" spans="1:11" x14ac:dyDescent="0.2">
      <c r="C92" s="407"/>
      <c r="D92" s="407"/>
      <c r="E92" s="407"/>
      <c r="F92" s="407"/>
      <c r="G92" s="407"/>
      <c r="H92" s="407"/>
      <c r="I92" s="407"/>
      <c r="J92" s="407"/>
      <c r="K92" s="407"/>
    </row>
    <row r="93" spans="1:11" x14ac:dyDescent="0.2">
      <c r="C93" s="407"/>
      <c r="D93" s="407"/>
      <c r="E93" s="407"/>
      <c r="F93" s="407"/>
      <c r="G93" s="407"/>
      <c r="H93" s="407"/>
      <c r="I93" s="407"/>
      <c r="J93" s="407"/>
      <c r="K93" s="407"/>
    </row>
    <row r="94" spans="1:11" x14ac:dyDescent="0.2">
      <c r="C94" s="407"/>
      <c r="D94" s="407"/>
      <c r="E94" s="407"/>
      <c r="F94" s="407"/>
      <c r="G94" s="407"/>
      <c r="H94" s="407"/>
      <c r="I94" s="407"/>
      <c r="J94" s="407"/>
      <c r="K94" s="407"/>
    </row>
    <row r="95" spans="1:11" x14ac:dyDescent="0.2">
      <c r="C95" s="407"/>
      <c r="D95" s="407"/>
      <c r="E95" s="407"/>
      <c r="F95" s="407"/>
      <c r="G95" s="407"/>
      <c r="H95" s="407"/>
      <c r="I95" s="407"/>
      <c r="J95" s="407"/>
      <c r="K95" s="407"/>
    </row>
    <row r="96" spans="1:11" x14ac:dyDescent="0.2">
      <c r="C96" s="407"/>
      <c r="D96" s="407"/>
      <c r="E96" s="407"/>
      <c r="F96" s="407"/>
      <c r="G96" s="407"/>
      <c r="H96" s="407"/>
      <c r="I96" s="407"/>
      <c r="J96" s="407"/>
      <c r="K96" s="407"/>
    </row>
    <row r="97" spans="3:11" x14ac:dyDescent="0.2">
      <c r="C97" s="407"/>
      <c r="D97" s="407"/>
      <c r="E97" s="407"/>
      <c r="F97" s="407"/>
      <c r="G97" s="407"/>
      <c r="H97" s="407"/>
      <c r="I97" s="407"/>
      <c r="J97" s="407"/>
      <c r="K97" s="407"/>
    </row>
    <row r="98" spans="3:11" x14ac:dyDescent="0.2">
      <c r="C98" s="407"/>
      <c r="D98" s="407"/>
      <c r="E98" s="407"/>
      <c r="F98" s="407"/>
      <c r="G98" s="407"/>
      <c r="H98" s="407"/>
      <c r="I98" s="407"/>
      <c r="J98" s="407"/>
      <c r="K98" s="407"/>
    </row>
    <row r="99" spans="3:11" x14ac:dyDescent="0.2">
      <c r="C99" s="407"/>
      <c r="D99" s="407"/>
      <c r="E99" s="407"/>
      <c r="F99" s="407"/>
      <c r="G99" s="407"/>
      <c r="H99" s="407"/>
      <c r="I99" s="407"/>
      <c r="J99" s="407"/>
      <c r="K99" s="407"/>
    </row>
    <row r="100" spans="3:11" x14ac:dyDescent="0.2">
      <c r="C100" s="407"/>
      <c r="D100" s="407"/>
      <c r="E100" s="407"/>
      <c r="F100" s="407"/>
      <c r="G100" s="407"/>
      <c r="H100" s="407"/>
      <c r="I100" s="407"/>
      <c r="J100" s="407"/>
      <c r="K100" s="407"/>
    </row>
    <row r="101" spans="3:11" x14ac:dyDescent="0.2">
      <c r="C101" s="407"/>
      <c r="D101" s="407"/>
      <c r="E101" s="407"/>
      <c r="F101" s="407"/>
      <c r="G101" s="407"/>
      <c r="H101" s="407"/>
      <c r="I101" s="407"/>
      <c r="J101" s="407"/>
      <c r="K101" s="407"/>
    </row>
    <row r="102" spans="3:11" x14ac:dyDescent="0.2">
      <c r="C102" s="407"/>
      <c r="D102" s="407"/>
      <c r="E102" s="407"/>
      <c r="F102" s="407"/>
      <c r="G102" s="407"/>
      <c r="H102" s="407"/>
      <c r="I102" s="407"/>
      <c r="J102" s="407"/>
      <c r="K102" s="407"/>
    </row>
    <row r="103" spans="3:11" x14ac:dyDescent="0.2">
      <c r="C103" s="407"/>
      <c r="D103" s="407"/>
      <c r="E103" s="407"/>
      <c r="F103" s="407"/>
      <c r="G103" s="407"/>
      <c r="H103" s="407"/>
      <c r="I103" s="407"/>
      <c r="J103" s="407"/>
      <c r="K103" s="407"/>
    </row>
    <row r="104" spans="3:11" x14ac:dyDescent="0.2">
      <c r="C104" s="407"/>
      <c r="D104" s="407"/>
      <c r="E104" s="407"/>
      <c r="F104" s="407"/>
      <c r="G104" s="407"/>
      <c r="H104" s="407"/>
      <c r="I104" s="407"/>
      <c r="J104" s="407"/>
      <c r="K104" s="407"/>
    </row>
    <row r="105" spans="3:11" x14ac:dyDescent="0.2">
      <c r="C105" s="407"/>
      <c r="D105" s="407"/>
      <c r="E105" s="407"/>
      <c r="F105" s="407"/>
      <c r="G105" s="407"/>
      <c r="H105" s="407"/>
      <c r="I105" s="407"/>
      <c r="J105" s="407"/>
      <c r="K105" s="407"/>
    </row>
    <row r="106" spans="3:11" x14ac:dyDescent="0.2">
      <c r="C106" s="407"/>
      <c r="D106" s="407"/>
      <c r="E106" s="407"/>
      <c r="F106" s="407"/>
      <c r="G106" s="407"/>
      <c r="H106" s="407"/>
      <c r="I106" s="407"/>
      <c r="J106" s="407"/>
      <c r="K106" s="407"/>
    </row>
    <row r="107" spans="3:11" x14ac:dyDescent="0.2">
      <c r="C107" s="407"/>
      <c r="D107" s="407"/>
      <c r="E107" s="407"/>
      <c r="F107" s="407"/>
      <c r="G107" s="407"/>
      <c r="H107" s="407"/>
      <c r="I107" s="407"/>
      <c r="J107" s="407"/>
      <c r="K107" s="407"/>
    </row>
    <row r="108" spans="3:11" x14ac:dyDescent="0.2">
      <c r="C108" s="407"/>
      <c r="D108" s="407"/>
      <c r="E108" s="407"/>
      <c r="F108" s="407"/>
      <c r="G108" s="407"/>
      <c r="H108" s="407"/>
      <c r="I108" s="407"/>
      <c r="J108" s="407"/>
      <c r="K108" s="407"/>
    </row>
    <row r="109" spans="3:11" x14ac:dyDescent="0.2">
      <c r="C109" s="407"/>
      <c r="D109" s="407"/>
      <c r="E109" s="407"/>
      <c r="F109" s="407"/>
      <c r="G109" s="407"/>
      <c r="H109" s="407"/>
      <c r="I109" s="407"/>
      <c r="J109" s="407"/>
      <c r="K109" s="407"/>
    </row>
    <row r="110" spans="3:11" x14ac:dyDescent="0.2">
      <c r="C110" s="407"/>
      <c r="D110" s="407"/>
      <c r="E110" s="407"/>
      <c r="F110" s="407"/>
      <c r="G110" s="407"/>
      <c r="H110" s="407"/>
      <c r="I110" s="407"/>
      <c r="J110" s="407"/>
      <c r="K110" s="407"/>
    </row>
    <row r="111" spans="3:11" x14ac:dyDescent="0.2">
      <c r="C111" s="407"/>
      <c r="D111" s="407"/>
      <c r="E111" s="407"/>
      <c r="F111" s="407"/>
      <c r="G111" s="407"/>
      <c r="H111" s="407"/>
      <c r="I111" s="407"/>
      <c r="J111" s="407"/>
      <c r="K111" s="407"/>
    </row>
    <row r="112" spans="3:11" x14ac:dyDescent="0.2">
      <c r="C112" s="407"/>
      <c r="D112" s="407"/>
      <c r="E112" s="407"/>
      <c r="F112" s="407"/>
      <c r="G112" s="407"/>
      <c r="H112" s="407"/>
      <c r="I112" s="407"/>
      <c r="J112" s="407"/>
      <c r="K112" s="407"/>
    </row>
    <row r="113" spans="3:11" x14ac:dyDescent="0.2">
      <c r="C113" s="407"/>
      <c r="D113" s="407"/>
      <c r="E113" s="407"/>
      <c r="F113" s="407"/>
      <c r="G113" s="407"/>
      <c r="H113" s="407"/>
      <c r="I113" s="407"/>
      <c r="J113" s="407"/>
      <c r="K113" s="407"/>
    </row>
    <row r="114" spans="3:11" x14ac:dyDescent="0.2">
      <c r="C114" s="407"/>
      <c r="D114" s="407"/>
      <c r="E114" s="407"/>
      <c r="F114" s="407"/>
      <c r="G114" s="407"/>
      <c r="H114" s="407"/>
      <c r="I114" s="407"/>
      <c r="J114" s="407"/>
      <c r="K114" s="407"/>
    </row>
    <row r="115" spans="3:11" x14ac:dyDescent="0.2">
      <c r="C115" s="407"/>
      <c r="D115" s="407"/>
      <c r="E115" s="407"/>
      <c r="F115" s="407"/>
      <c r="G115" s="407"/>
      <c r="H115" s="407"/>
      <c r="I115" s="407"/>
      <c r="J115" s="407"/>
      <c r="K115" s="407"/>
    </row>
    <row r="116" spans="3:11" x14ac:dyDescent="0.2">
      <c r="C116" s="407"/>
      <c r="D116" s="407"/>
      <c r="E116" s="407"/>
      <c r="F116" s="407"/>
      <c r="G116" s="407"/>
      <c r="H116" s="407"/>
      <c r="I116" s="407"/>
      <c r="J116" s="407"/>
      <c r="K116" s="407"/>
    </row>
    <row r="117" spans="3:11" x14ac:dyDescent="0.2">
      <c r="C117" s="407"/>
      <c r="D117" s="407"/>
      <c r="E117" s="407"/>
      <c r="F117" s="407"/>
      <c r="G117" s="407"/>
      <c r="H117" s="407"/>
      <c r="I117" s="407"/>
      <c r="J117" s="407"/>
      <c r="K117" s="407"/>
    </row>
    <row r="118" spans="3:11" x14ac:dyDescent="0.2">
      <c r="C118" s="407"/>
      <c r="D118" s="407"/>
      <c r="E118" s="407"/>
      <c r="F118" s="407"/>
      <c r="G118" s="407"/>
      <c r="H118" s="407"/>
      <c r="I118" s="407"/>
      <c r="J118" s="407"/>
      <c r="K118" s="407"/>
    </row>
    <row r="119" spans="3:11" x14ac:dyDescent="0.2">
      <c r="C119" s="407"/>
      <c r="D119" s="407"/>
      <c r="E119" s="407"/>
      <c r="F119" s="407"/>
      <c r="G119" s="407"/>
      <c r="H119" s="407"/>
      <c r="I119" s="407"/>
      <c r="J119" s="407"/>
      <c r="K119" s="407"/>
    </row>
    <row r="120" spans="3:11" x14ac:dyDescent="0.2">
      <c r="C120" s="407"/>
      <c r="D120" s="407"/>
      <c r="E120" s="407"/>
      <c r="F120" s="407"/>
      <c r="G120" s="407"/>
      <c r="H120" s="407"/>
      <c r="I120" s="407"/>
      <c r="J120" s="407"/>
      <c r="K120" s="407"/>
    </row>
    <row r="121" spans="3:11" x14ac:dyDescent="0.2">
      <c r="C121" s="407"/>
      <c r="D121" s="407"/>
      <c r="E121" s="407"/>
      <c r="F121" s="407"/>
      <c r="G121" s="407"/>
      <c r="H121" s="407"/>
      <c r="I121" s="407"/>
      <c r="J121" s="407"/>
      <c r="K121" s="407"/>
    </row>
    <row r="122" spans="3:11" x14ac:dyDescent="0.2">
      <c r="C122" s="407"/>
      <c r="D122" s="407"/>
      <c r="E122" s="407"/>
      <c r="F122" s="407"/>
      <c r="G122" s="407"/>
      <c r="H122" s="407"/>
      <c r="I122" s="407"/>
      <c r="J122" s="407"/>
      <c r="K122" s="407"/>
    </row>
    <row r="123" spans="3:11" x14ac:dyDescent="0.2">
      <c r="C123" s="407"/>
      <c r="D123" s="407"/>
      <c r="E123" s="407"/>
      <c r="F123" s="407"/>
      <c r="G123" s="407"/>
      <c r="H123" s="407"/>
      <c r="I123" s="407"/>
      <c r="J123" s="407"/>
      <c r="K123" s="407"/>
    </row>
    <row r="124" spans="3:11" x14ac:dyDescent="0.2">
      <c r="C124" s="407"/>
      <c r="D124" s="407"/>
      <c r="E124" s="407"/>
      <c r="F124" s="407"/>
      <c r="G124" s="407"/>
      <c r="H124" s="407"/>
      <c r="I124" s="407"/>
      <c r="J124" s="407"/>
      <c r="K124" s="407"/>
    </row>
    <row r="125" spans="3:11" x14ac:dyDescent="0.2">
      <c r="C125" s="407"/>
      <c r="D125" s="407"/>
      <c r="E125" s="407"/>
      <c r="F125" s="407"/>
      <c r="G125" s="407"/>
      <c r="H125" s="407"/>
      <c r="I125" s="407"/>
      <c r="J125" s="407"/>
      <c r="K125" s="407"/>
    </row>
    <row r="126" spans="3:11" x14ac:dyDescent="0.2">
      <c r="C126" s="407"/>
      <c r="D126" s="407"/>
      <c r="E126" s="407"/>
      <c r="F126" s="407"/>
      <c r="G126" s="407"/>
      <c r="H126" s="407"/>
      <c r="I126" s="407"/>
      <c r="J126" s="407"/>
      <c r="K126" s="407"/>
    </row>
    <row r="127" spans="3:11" x14ac:dyDescent="0.2">
      <c r="C127" s="407"/>
      <c r="D127" s="407"/>
      <c r="E127" s="407"/>
      <c r="F127" s="407"/>
      <c r="G127" s="407"/>
      <c r="H127" s="407"/>
      <c r="I127" s="407"/>
      <c r="J127" s="407"/>
      <c r="K127" s="407"/>
    </row>
    <row r="128" spans="3:11" x14ac:dyDescent="0.2">
      <c r="C128" s="407"/>
      <c r="D128" s="407"/>
      <c r="E128" s="407"/>
      <c r="F128" s="407"/>
      <c r="G128" s="407"/>
      <c r="H128" s="407"/>
      <c r="I128" s="407"/>
      <c r="J128" s="407"/>
      <c r="K128" s="407"/>
    </row>
    <row r="129" spans="3:11" x14ac:dyDescent="0.2">
      <c r="C129" s="407"/>
      <c r="D129" s="407"/>
      <c r="E129" s="407"/>
      <c r="F129" s="407"/>
      <c r="G129" s="407"/>
      <c r="H129" s="407"/>
      <c r="I129" s="407"/>
      <c r="J129" s="407"/>
      <c r="K129" s="407"/>
    </row>
    <row r="130" spans="3:11" x14ac:dyDescent="0.2">
      <c r="C130" s="407"/>
      <c r="D130" s="407"/>
      <c r="E130" s="407"/>
      <c r="F130" s="407"/>
      <c r="G130" s="407"/>
      <c r="H130" s="407"/>
      <c r="I130" s="407"/>
      <c r="J130" s="407"/>
      <c r="K130" s="407"/>
    </row>
    <row r="131" spans="3:11" x14ac:dyDescent="0.2">
      <c r="C131" s="407"/>
      <c r="D131" s="407"/>
      <c r="E131" s="407"/>
      <c r="F131" s="407"/>
      <c r="G131" s="407"/>
      <c r="H131" s="407"/>
      <c r="I131" s="407"/>
      <c r="J131" s="407"/>
      <c r="K131" s="407"/>
    </row>
    <row r="132" spans="3:11" x14ac:dyDescent="0.2">
      <c r="C132" s="407"/>
      <c r="D132" s="407"/>
      <c r="E132" s="407"/>
      <c r="F132" s="407"/>
      <c r="G132" s="407"/>
      <c r="H132" s="407"/>
      <c r="I132" s="407"/>
      <c r="J132" s="407"/>
      <c r="K132" s="407"/>
    </row>
    <row r="133" spans="3:11" x14ac:dyDescent="0.2">
      <c r="C133" s="407"/>
      <c r="D133" s="407"/>
      <c r="E133" s="407"/>
      <c r="F133" s="407"/>
      <c r="G133" s="407"/>
      <c r="H133" s="407"/>
      <c r="I133" s="407"/>
      <c r="J133" s="407"/>
      <c r="K133" s="407"/>
    </row>
    <row r="134" spans="3:11" x14ac:dyDescent="0.2">
      <c r="C134" s="407"/>
      <c r="D134" s="407"/>
      <c r="E134" s="407"/>
      <c r="F134" s="407"/>
      <c r="G134" s="407"/>
      <c r="H134" s="407"/>
      <c r="I134" s="407"/>
      <c r="J134" s="407"/>
      <c r="K134" s="407"/>
    </row>
    <row r="135" spans="3:11" x14ac:dyDescent="0.2">
      <c r="C135" s="407"/>
      <c r="D135" s="407"/>
      <c r="E135" s="407"/>
      <c r="F135" s="407"/>
      <c r="G135" s="407"/>
      <c r="H135" s="407"/>
      <c r="I135" s="407"/>
      <c r="J135" s="407"/>
      <c r="K135" s="407"/>
    </row>
    <row r="136" spans="3:11" x14ac:dyDescent="0.2">
      <c r="C136" s="407"/>
      <c r="D136" s="407"/>
      <c r="E136" s="407"/>
      <c r="F136" s="407"/>
      <c r="G136" s="407"/>
      <c r="H136" s="407"/>
      <c r="I136" s="407"/>
      <c r="J136" s="407"/>
      <c r="K136" s="407"/>
    </row>
    <row r="137" spans="3:11" x14ac:dyDescent="0.2">
      <c r="C137" s="407"/>
      <c r="D137" s="407"/>
      <c r="E137" s="407"/>
      <c r="F137" s="407"/>
      <c r="G137" s="407"/>
      <c r="H137" s="407"/>
      <c r="I137" s="407"/>
      <c r="J137" s="407"/>
      <c r="K137" s="407"/>
    </row>
    <row r="138" spans="3:11" x14ac:dyDescent="0.2">
      <c r="C138" s="407"/>
      <c r="D138" s="407"/>
      <c r="E138" s="407"/>
      <c r="F138" s="407"/>
      <c r="G138" s="407"/>
      <c r="H138" s="407"/>
      <c r="I138" s="407"/>
      <c r="J138" s="407"/>
      <c r="K138" s="407"/>
    </row>
    <row r="139" spans="3:11" x14ac:dyDescent="0.2">
      <c r="C139" s="407"/>
      <c r="D139" s="407"/>
      <c r="E139" s="407"/>
      <c r="F139" s="407"/>
      <c r="G139" s="407"/>
      <c r="H139" s="407"/>
      <c r="I139" s="407"/>
      <c r="J139" s="407"/>
      <c r="K139" s="407"/>
    </row>
    <row r="140" spans="3:11" x14ac:dyDescent="0.2">
      <c r="C140" s="407"/>
      <c r="D140" s="407"/>
      <c r="E140" s="407"/>
      <c r="F140" s="407"/>
      <c r="G140" s="407"/>
      <c r="H140" s="407"/>
      <c r="I140" s="407"/>
      <c r="J140" s="407"/>
      <c r="K140" s="407"/>
    </row>
    <row r="141" spans="3:11" x14ac:dyDescent="0.2">
      <c r="C141" s="407"/>
      <c r="D141" s="407"/>
      <c r="E141" s="407"/>
      <c r="F141" s="407"/>
      <c r="G141" s="407"/>
      <c r="H141" s="407"/>
      <c r="I141" s="407"/>
      <c r="J141" s="407"/>
      <c r="K141" s="407"/>
    </row>
    <row r="142" spans="3:11" x14ac:dyDescent="0.2">
      <c r="C142" s="407"/>
      <c r="D142" s="407"/>
      <c r="E142" s="407"/>
      <c r="F142" s="407"/>
      <c r="G142" s="407"/>
      <c r="H142" s="407"/>
      <c r="I142" s="407"/>
      <c r="J142" s="407"/>
      <c r="K142" s="407"/>
    </row>
    <row r="143" spans="3:11" x14ac:dyDescent="0.2">
      <c r="C143" s="407"/>
      <c r="D143" s="407"/>
      <c r="E143" s="407"/>
      <c r="F143" s="407"/>
      <c r="G143" s="407"/>
      <c r="H143" s="407"/>
      <c r="I143" s="407"/>
      <c r="J143" s="407"/>
      <c r="K143" s="407"/>
    </row>
    <row r="144" spans="3:11" x14ac:dyDescent="0.2">
      <c r="C144" s="407"/>
      <c r="D144" s="407"/>
      <c r="E144" s="407"/>
      <c r="F144" s="407"/>
      <c r="G144" s="407"/>
      <c r="H144" s="407"/>
      <c r="I144" s="407"/>
      <c r="J144" s="407"/>
      <c r="K144" s="407"/>
    </row>
    <row r="145" spans="3:11" x14ac:dyDescent="0.2">
      <c r="C145" s="407"/>
      <c r="D145" s="407"/>
      <c r="E145" s="407"/>
      <c r="F145" s="407"/>
      <c r="G145" s="407"/>
      <c r="H145" s="407"/>
      <c r="I145" s="407"/>
      <c r="J145" s="407"/>
      <c r="K145" s="407"/>
    </row>
    <row r="146" spans="3:11" x14ac:dyDescent="0.2">
      <c r="C146" s="407"/>
      <c r="D146" s="407"/>
      <c r="E146" s="407"/>
      <c r="F146" s="407"/>
      <c r="G146" s="407"/>
      <c r="H146" s="407"/>
      <c r="I146" s="407"/>
      <c r="J146" s="407"/>
      <c r="K146" s="407"/>
    </row>
    <row r="147" spans="3:11" x14ac:dyDescent="0.2">
      <c r="C147" s="407"/>
      <c r="D147" s="407"/>
      <c r="E147" s="407"/>
      <c r="F147" s="407"/>
      <c r="G147" s="407"/>
      <c r="H147" s="407"/>
      <c r="I147" s="407"/>
      <c r="J147" s="407"/>
      <c r="K147" s="407"/>
    </row>
    <row r="148" spans="3:11" x14ac:dyDescent="0.2">
      <c r="C148" s="407"/>
      <c r="D148" s="407"/>
      <c r="E148" s="407"/>
      <c r="F148" s="407"/>
      <c r="G148" s="407"/>
      <c r="H148" s="407"/>
      <c r="I148" s="407"/>
      <c r="J148" s="407"/>
      <c r="K148" s="407"/>
    </row>
    <row r="149" spans="3:11" x14ac:dyDescent="0.2">
      <c r="C149" s="407"/>
      <c r="D149" s="407"/>
      <c r="E149" s="407"/>
      <c r="F149" s="407"/>
      <c r="G149" s="407"/>
      <c r="H149" s="407"/>
      <c r="I149" s="407"/>
      <c r="J149" s="407"/>
      <c r="K149" s="407"/>
    </row>
    <row r="150" spans="3:11" x14ac:dyDescent="0.2">
      <c r="C150" s="407"/>
      <c r="D150" s="407"/>
      <c r="E150" s="407"/>
      <c r="F150" s="407"/>
      <c r="G150" s="407"/>
      <c r="H150" s="407"/>
      <c r="I150" s="407"/>
      <c r="J150" s="407"/>
      <c r="K150" s="407"/>
    </row>
    <row r="151" spans="3:11" x14ac:dyDescent="0.2">
      <c r="C151" s="407"/>
      <c r="D151" s="407"/>
      <c r="E151" s="407"/>
      <c r="F151" s="407"/>
      <c r="G151" s="407"/>
      <c r="H151" s="407"/>
      <c r="I151" s="407"/>
      <c r="J151" s="407"/>
      <c r="K151" s="407"/>
    </row>
    <row r="152" spans="3:11" x14ac:dyDescent="0.2">
      <c r="C152" s="407"/>
      <c r="D152" s="407"/>
      <c r="E152" s="407"/>
      <c r="F152" s="407"/>
      <c r="G152" s="407"/>
      <c r="H152" s="407"/>
      <c r="I152" s="407"/>
      <c r="J152" s="407"/>
      <c r="K152" s="407"/>
    </row>
    <row r="153" spans="3:11" x14ac:dyDescent="0.2">
      <c r="C153" s="407"/>
      <c r="D153" s="407"/>
      <c r="E153" s="407"/>
      <c r="F153" s="407"/>
      <c r="G153" s="407"/>
      <c r="H153" s="407"/>
      <c r="I153" s="407"/>
      <c r="J153" s="407"/>
      <c r="K153" s="407"/>
    </row>
    <row r="154" spans="3:11" x14ac:dyDescent="0.2">
      <c r="C154" s="407"/>
      <c r="D154" s="407"/>
      <c r="E154" s="407"/>
      <c r="F154" s="407"/>
      <c r="G154" s="407"/>
      <c r="H154" s="407"/>
      <c r="I154" s="407"/>
      <c r="J154" s="407"/>
      <c r="K154" s="407"/>
    </row>
    <row r="155" spans="3:11" x14ac:dyDescent="0.2">
      <c r="C155" s="407"/>
      <c r="D155" s="407"/>
      <c r="E155" s="407"/>
      <c r="F155" s="407"/>
      <c r="G155" s="407"/>
      <c r="H155" s="407"/>
      <c r="I155" s="407"/>
      <c r="J155" s="407"/>
      <c r="K155" s="407"/>
    </row>
    <row r="156" spans="3:11" x14ac:dyDescent="0.2">
      <c r="C156" s="407"/>
      <c r="D156" s="407"/>
      <c r="E156" s="407"/>
      <c r="F156" s="407"/>
      <c r="G156" s="407"/>
      <c r="H156" s="407"/>
      <c r="I156" s="407"/>
      <c r="J156" s="407"/>
      <c r="K156" s="407"/>
    </row>
    <row r="157" spans="3:11" x14ac:dyDescent="0.2">
      <c r="C157" s="407"/>
      <c r="D157" s="407"/>
      <c r="E157" s="407"/>
      <c r="F157" s="407"/>
      <c r="G157" s="407"/>
      <c r="H157" s="407"/>
      <c r="I157" s="407"/>
      <c r="J157" s="407"/>
      <c r="K157" s="407"/>
    </row>
    <row r="158" spans="3:11" x14ac:dyDescent="0.2">
      <c r="C158" s="407"/>
      <c r="D158" s="407"/>
      <c r="E158" s="407"/>
      <c r="F158" s="407"/>
      <c r="G158" s="407"/>
      <c r="H158" s="407"/>
      <c r="I158" s="407"/>
      <c r="J158" s="407"/>
      <c r="K158" s="407"/>
    </row>
    <row r="159" spans="3:11" x14ac:dyDescent="0.2">
      <c r="C159" s="407"/>
      <c r="D159" s="407"/>
      <c r="E159" s="407"/>
      <c r="F159" s="407"/>
      <c r="G159" s="407"/>
      <c r="H159" s="407"/>
      <c r="I159" s="407"/>
      <c r="J159" s="407"/>
      <c r="K159" s="407"/>
    </row>
    <row r="160" spans="3:11" x14ac:dyDescent="0.2">
      <c r="C160" s="407"/>
      <c r="D160" s="407"/>
      <c r="E160" s="407"/>
      <c r="F160" s="407"/>
      <c r="G160" s="407"/>
      <c r="H160" s="407"/>
      <c r="I160" s="407"/>
      <c r="J160" s="407"/>
      <c r="K160" s="407"/>
    </row>
    <row r="161" spans="3:11" x14ac:dyDescent="0.2">
      <c r="C161" s="407"/>
      <c r="D161" s="407"/>
      <c r="E161" s="407"/>
      <c r="F161" s="407"/>
      <c r="G161" s="407"/>
      <c r="H161" s="407"/>
      <c r="I161" s="407"/>
      <c r="J161" s="407"/>
      <c r="K161" s="407"/>
    </row>
    <row r="162" spans="3:11" x14ac:dyDescent="0.2">
      <c r="C162" s="407"/>
      <c r="D162" s="407"/>
      <c r="E162" s="407"/>
      <c r="F162" s="407"/>
      <c r="G162" s="407"/>
      <c r="H162" s="407"/>
      <c r="I162" s="407"/>
      <c r="J162" s="407"/>
      <c r="K162" s="407"/>
    </row>
    <row r="163" spans="3:11" x14ac:dyDescent="0.2">
      <c r="C163" s="407"/>
      <c r="D163" s="407"/>
      <c r="E163" s="407"/>
      <c r="F163" s="407"/>
      <c r="G163" s="407"/>
      <c r="H163" s="407"/>
      <c r="I163" s="407"/>
      <c r="J163" s="407"/>
      <c r="K163" s="407"/>
    </row>
    <row r="164" spans="3:11" x14ac:dyDescent="0.2">
      <c r="C164" s="407"/>
      <c r="D164" s="407"/>
      <c r="E164" s="407"/>
      <c r="F164" s="407"/>
      <c r="G164" s="407"/>
      <c r="H164" s="407"/>
      <c r="I164" s="407"/>
      <c r="J164" s="407"/>
      <c r="K164" s="407"/>
    </row>
    <row r="165" spans="3:11" x14ac:dyDescent="0.2">
      <c r="C165" s="407"/>
      <c r="D165" s="407"/>
      <c r="E165" s="407"/>
      <c r="F165" s="407"/>
      <c r="G165" s="407"/>
      <c r="H165" s="407"/>
      <c r="I165" s="407"/>
      <c r="J165" s="407"/>
      <c r="K165" s="407"/>
    </row>
    <row r="166" spans="3:11" x14ac:dyDescent="0.2">
      <c r="C166" s="407"/>
      <c r="D166" s="407"/>
      <c r="E166" s="407"/>
      <c r="F166" s="407"/>
      <c r="G166" s="407"/>
      <c r="H166" s="407"/>
      <c r="I166" s="407"/>
      <c r="J166" s="407"/>
      <c r="K166" s="407"/>
    </row>
    <row r="167" spans="3:11" x14ac:dyDescent="0.2">
      <c r="C167" s="407"/>
      <c r="D167" s="407"/>
      <c r="E167" s="407"/>
      <c r="F167" s="407"/>
      <c r="G167" s="407"/>
      <c r="H167" s="407"/>
      <c r="I167" s="407"/>
      <c r="J167" s="407"/>
      <c r="K167" s="407"/>
    </row>
    <row r="168" spans="3:11" x14ac:dyDescent="0.2">
      <c r="C168" s="407"/>
      <c r="D168" s="407"/>
      <c r="E168" s="407"/>
      <c r="F168" s="407"/>
      <c r="G168" s="407"/>
      <c r="H168" s="407"/>
      <c r="I168" s="407"/>
      <c r="J168" s="407"/>
      <c r="K168" s="407"/>
    </row>
    <row r="169" spans="3:11" x14ac:dyDescent="0.2">
      <c r="C169" s="407"/>
      <c r="D169" s="407"/>
      <c r="E169" s="407"/>
      <c r="F169" s="407"/>
      <c r="G169" s="407"/>
      <c r="H169" s="407"/>
      <c r="I169" s="407"/>
      <c r="J169" s="407"/>
      <c r="K169" s="407"/>
    </row>
    <row r="170" spans="3:11" x14ac:dyDescent="0.2">
      <c r="C170" s="407"/>
      <c r="D170" s="407"/>
      <c r="E170" s="407"/>
      <c r="F170" s="407"/>
      <c r="G170" s="407"/>
      <c r="H170" s="407"/>
      <c r="I170" s="407"/>
      <c r="J170" s="407"/>
      <c r="K170" s="407"/>
    </row>
    <row r="171" spans="3:11" x14ac:dyDescent="0.2">
      <c r="C171" s="407"/>
      <c r="D171" s="407"/>
      <c r="E171" s="407"/>
      <c r="F171" s="407"/>
      <c r="G171" s="407"/>
      <c r="H171" s="407"/>
      <c r="I171" s="407"/>
      <c r="J171" s="407"/>
      <c r="K171" s="407"/>
    </row>
    <row r="172" spans="3:11" x14ac:dyDescent="0.2">
      <c r="C172" s="407"/>
      <c r="D172" s="407"/>
      <c r="E172" s="407"/>
      <c r="F172" s="407"/>
      <c r="G172" s="407"/>
      <c r="H172" s="407"/>
      <c r="I172" s="407"/>
      <c r="J172" s="407"/>
      <c r="K172" s="407"/>
    </row>
    <row r="173" spans="3:11" x14ac:dyDescent="0.2">
      <c r="C173" s="407"/>
      <c r="D173" s="407"/>
      <c r="E173" s="407"/>
      <c r="F173" s="407"/>
      <c r="G173" s="407"/>
      <c r="H173" s="407"/>
      <c r="I173" s="407"/>
      <c r="J173" s="407"/>
      <c r="K173" s="407"/>
    </row>
    <row r="174" spans="3:11" x14ac:dyDescent="0.2">
      <c r="C174" s="407"/>
      <c r="D174" s="407"/>
      <c r="E174" s="407"/>
      <c r="F174" s="407"/>
      <c r="G174" s="407"/>
      <c r="H174" s="407"/>
      <c r="I174" s="407"/>
      <c r="J174" s="407"/>
      <c r="K174" s="407"/>
    </row>
    <row r="175" spans="3:11" x14ac:dyDescent="0.2">
      <c r="C175" s="407"/>
      <c r="D175" s="407"/>
      <c r="E175" s="407"/>
      <c r="F175" s="407"/>
      <c r="G175" s="407"/>
      <c r="H175" s="407"/>
      <c r="I175" s="407"/>
      <c r="J175" s="407"/>
      <c r="K175" s="407"/>
    </row>
    <row r="176" spans="3:11" x14ac:dyDescent="0.2">
      <c r="C176" s="407"/>
      <c r="D176" s="407"/>
      <c r="E176" s="407"/>
      <c r="F176" s="407"/>
      <c r="G176" s="407"/>
      <c r="H176" s="407"/>
      <c r="I176" s="407"/>
      <c r="J176" s="407"/>
      <c r="K176" s="407"/>
    </row>
    <row r="177" spans="3:11" x14ac:dyDescent="0.2">
      <c r="C177" s="407"/>
      <c r="D177" s="407"/>
      <c r="E177" s="407"/>
      <c r="F177" s="407"/>
      <c r="G177" s="407"/>
      <c r="H177" s="407"/>
      <c r="I177" s="407"/>
      <c r="J177" s="407"/>
      <c r="K177" s="407"/>
    </row>
    <row r="178" spans="3:11" x14ac:dyDescent="0.2">
      <c r="C178" s="407"/>
      <c r="D178" s="407"/>
      <c r="E178" s="407"/>
      <c r="F178" s="407"/>
      <c r="G178" s="407"/>
      <c r="H178" s="407"/>
      <c r="I178" s="407"/>
      <c r="J178" s="407"/>
      <c r="K178" s="407"/>
    </row>
    <row r="179" spans="3:11" x14ac:dyDescent="0.2">
      <c r="C179" s="407"/>
      <c r="D179" s="407"/>
      <c r="E179" s="407"/>
      <c r="F179" s="407"/>
      <c r="G179" s="407"/>
      <c r="H179" s="407"/>
      <c r="I179" s="407"/>
      <c r="J179" s="407"/>
      <c r="K179" s="407"/>
    </row>
    <row r="180" spans="3:11" x14ac:dyDescent="0.2">
      <c r="C180" s="407"/>
      <c r="D180" s="407"/>
      <c r="E180" s="407"/>
      <c r="F180" s="407"/>
      <c r="G180" s="407"/>
      <c r="H180" s="407"/>
      <c r="I180" s="407"/>
      <c r="J180" s="407"/>
      <c r="K180" s="407"/>
    </row>
    <row r="181" spans="3:11" x14ac:dyDescent="0.2">
      <c r="C181" s="407"/>
      <c r="D181" s="407"/>
      <c r="E181" s="407"/>
      <c r="F181" s="407"/>
      <c r="G181" s="407"/>
      <c r="H181" s="407"/>
      <c r="I181" s="407"/>
      <c r="J181" s="407"/>
      <c r="K181" s="407"/>
    </row>
    <row r="182" spans="3:11" x14ac:dyDescent="0.2">
      <c r="C182" s="407"/>
      <c r="D182" s="407"/>
      <c r="E182" s="407"/>
      <c r="F182" s="407"/>
      <c r="G182" s="407"/>
      <c r="H182" s="407"/>
      <c r="I182" s="407"/>
      <c r="J182" s="407"/>
      <c r="K182" s="407"/>
    </row>
    <row r="183" spans="3:11" x14ac:dyDescent="0.2">
      <c r="C183" s="407"/>
      <c r="D183" s="407"/>
      <c r="E183" s="407"/>
      <c r="F183" s="407"/>
      <c r="G183" s="407"/>
      <c r="H183" s="407"/>
      <c r="I183" s="407"/>
      <c r="J183" s="407"/>
      <c r="K183" s="407"/>
    </row>
    <row r="184" spans="3:11" x14ac:dyDescent="0.2">
      <c r="C184" s="407"/>
      <c r="D184" s="407"/>
      <c r="E184" s="407"/>
      <c r="F184" s="407"/>
      <c r="G184" s="407"/>
      <c r="H184" s="407"/>
      <c r="I184" s="407"/>
      <c r="J184" s="407"/>
      <c r="K184" s="407"/>
    </row>
    <row r="185" spans="3:11" x14ac:dyDescent="0.2">
      <c r="C185" s="407"/>
      <c r="D185" s="407"/>
      <c r="E185" s="407"/>
      <c r="F185" s="407"/>
      <c r="G185" s="407"/>
      <c r="H185" s="407"/>
      <c r="I185" s="407"/>
      <c r="J185" s="407"/>
      <c r="K185" s="407"/>
    </row>
    <row r="186" spans="3:11" x14ac:dyDescent="0.2">
      <c r="C186" s="407"/>
      <c r="D186" s="407"/>
      <c r="E186" s="407"/>
      <c r="F186" s="407"/>
      <c r="G186" s="407"/>
      <c r="H186" s="407"/>
      <c r="I186" s="407"/>
      <c r="J186" s="407"/>
      <c r="K186" s="407"/>
    </row>
    <row r="187" spans="3:11" x14ac:dyDescent="0.2">
      <c r="C187" s="407"/>
      <c r="D187" s="407"/>
      <c r="E187" s="407"/>
      <c r="F187" s="407"/>
      <c r="G187" s="407"/>
      <c r="H187" s="407"/>
      <c r="I187" s="407"/>
      <c r="J187" s="407"/>
      <c r="K187" s="407"/>
    </row>
    <row r="188" spans="3:11" x14ac:dyDescent="0.2">
      <c r="C188" s="407"/>
      <c r="D188" s="407"/>
      <c r="E188" s="407"/>
      <c r="F188" s="407"/>
      <c r="G188" s="407"/>
      <c r="H188" s="407"/>
      <c r="I188" s="407"/>
      <c r="J188" s="407"/>
      <c r="K188" s="407"/>
    </row>
    <row r="189" spans="3:11" x14ac:dyDescent="0.2">
      <c r="C189" s="407"/>
      <c r="D189" s="407"/>
      <c r="E189" s="407"/>
      <c r="F189" s="407"/>
      <c r="G189" s="407"/>
      <c r="H189" s="407"/>
      <c r="I189" s="407"/>
      <c r="J189" s="407"/>
      <c r="K189" s="407"/>
    </row>
    <row r="190" spans="3:11" x14ac:dyDescent="0.2">
      <c r="C190" s="407"/>
      <c r="D190" s="407"/>
      <c r="E190" s="407"/>
      <c r="F190" s="407"/>
      <c r="G190" s="407"/>
      <c r="H190" s="407"/>
      <c r="I190" s="407"/>
      <c r="J190" s="407"/>
      <c r="K190" s="407"/>
    </row>
    <row r="191" spans="3:11" x14ac:dyDescent="0.2">
      <c r="C191" s="407"/>
      <c r="D191" s="407"/>
      <c r="E191" s="407"/>
      <c r="F191" s="407"/>
      <c r="G191" s="407"/>
      <c r="H191" s="407"/>
      <c r="I191" s="407"/>
      <c r="J191" s="407"/>
      <c r="K191" s="407"/>
    </row>
    <row r="192" spans="3:11" x14ac:dyDescent="0.2">
      <c r="C192" s="407"/>
      <c r="D192" s="407"/>
      <c r="E192" s="407"/>
      <c r="F192" s="407"/>
      <c r="G192" s="407"/>
      <c r="H192" s="407"/>
      <c r="I192" s="407"/>
      <c r="J192" s="407"/>
      <c r="K192" s="407"/>
    </row>
    <row r="193" spans="3:11" x14ac:dyDescent="0.2">
      <c r="C193" s="407"/>
      <c r="D193" s="407"/>
      <c r="E193" s="407"/>
      <c r="F193" s="407"/>
      <c r="G193" s="407"/>
      <c r="H193" s="407"/>
      <c r="I193" s="407"/>
      <c r="J193" s="407"/>
      <c r="K193" s="407"/>
    </row>
    <row r="194" spans="3:11" x14ac:dyDescent="0.2">
      <c r="C194" s="407"/>
      <c r="D194" s="407"/>
      <c r="E194" s="407"/>
      <c r="F194" s="407"/>
      <c r="G194" s="407"/>
      <c r="H194" s="407"/>
      <c r="I194" s="407"/>
      <c r="J194" s="407"/>
      <c r="K194" s="407"/>
    </row>
    <row r="195" spans="3:11" x14ac:dyDescent="0.2">
      <c r="C195" s="407"/>
      <c r="D195" s="407"/>
      <c r="E195" s="407"/>
      <c r="F195" s="407"/>
      <c r="G195" s="407"/>
      <c r="H195" s="407"/>
      <c r="I195" s="407"/>
      <c r="J195" s="407"/>
      <c r="K195" s="407"/>
    </row>
    <row r="196" spans="3:11" x14ac:dyDescent="0.2">
      <c r="C196" s="407"/>
      <c r="D196" s="407"/>
      <c r="E196" s="407"/>
      <c r="F196" s="407"/>
      <c r="G196" s="407"/>
      <c r="H196" s="407"/>
      <c r="I196" s="407"/>
      <c r="J196" s="407"/>
      <c r="K196" s="407"/>
    </row>
    <row r="197" spans="3:11" x14ac:dyDescent="0.2">
      <c r="C197" s="407"/>
      <c r="D197" s="407"/>
      <c r="E197" s="407"/>
      <c r="F197" s="407"/>
      <c r="G197" s="407"/>
      <c r="H197" s="407"/>
      <c r="I197" s="407"/>
      <c r="J197" s="407"/>
      <c r="K197" s="407"/>
    </row>
    <row r="198" spans="3:11" x14ac:dyDescent="0.2">
      <c r="C198" s="407"/>
      <c r="D198" s="407"/>
      <c r="E198" s="407"/>
      <c r="F198" s="407"/>
      <c r="G198" s="407"/>
      <c r="H198" s="407"/>
      <c r="I198" s="407"/>
      <c r="J198" s="407"/>
      <c r="K198" s="407"/>
    </row>
    <row r="199" spans="3:11" x14ac:dyDescent="0.2">
      <c r="C199" s="407"/>
      <c r="D199" s="407"/>
      <c r="E199" s="407"/>
      <c r="F199" s="407"/>
      <c r="G199" s="407"/>
      <c r="H199" s="407"/>
      <c r="I199" s="407"/>
      <c r="J199" s="407"/>
      <c r="K199" s="407"/>
    </row>
    <row r="200" spans="3:11" x14ac:dyDescent="0.2">
      <c r="C200" s="407"/>
      <c r="D200" s="407"/>
      <c r="E200" s="407"/>
      <c r="F200" s="407"/>
      <c r="G200" s="407"/>
      <c r="H200" s="407"/>
      <c r="I200" s="407"/>
      <c r="J200" s="407"/>
      <c r="K200" s="407"/>
    </row>
    <row r="201" spans="3:11" x14ac:dyDescent="0.2">
      <c r="C201" s="407"/>
      <c r="D201" s="407"/>
      <c r="E201" s="407"/>
      <c r="F201" s="407"/>
      <c r="G201" s="407"/>
      <c r="H201" s="407"/>
      <c r="I201" s="407"/>
      <c r="J201" s="407"/>
      <c r="K201" s="407"/>
    </row>
    <row r="202" spans="3:11" x14ac:dyDescent="0.2">
      <c r="C202" s="407"/>
      <c r="D202" s="407"/>
      <c r="E202" s="407"/>
      <c r="F202" s="407"/>
      <c r="G202" s="407"/>
      <c r="H202" s="407"/>
      <c r="I202" s="407"/>
      <c r="J202" s="407"/>
      <c r="K202" s="407"/>
    </row>
    <row r="203" spans="3:11" x14ac:dyDescent="0.2">
      <c r="C203" s="407"/>
      <c r="D203" s="407"/>
      <c r="E203" s="407"/>
      <c r="F203" s="407"/>
      <c r="G203" s="407"/>
      <c r="H203" s="407"/>
      <c r="I203" s="407"/>
      <c r="J203" s="407"/>
      <c r="K203" s="407"/>
    </row>
    <row r="204" spans="3:11" x14ac:dyDescent="0.2">
      <c r="C204" s="407"/>
      <c r="D204" s="407"/>
      <c r="E204" s="407"/>
      <c r="F204" s="407"/>
      <c r="G204" s="407"/>
      <c r="H204" s="407"/>
      <c r="I204" s="407"/>
      <c r="J204" s="407"/>
      <c r="K204" s="407"/>
    </row>
    <row r="205" spans="3:11" x14ac:dyDescent="0.2">
      <c r="C205" s="407"/>
      <c r="D205" s="407"/>
      <c r="E205" s="407"/>
      <c r="F205" s="407"/>
      <c r="G205" s="407"/>
      <c r="H205" s="407"/>
      <c r="I205" s="407"/>
      <c r="J205" s="407"/>
      <c r="K205" s="407"/>
    </row>
    <row r="206" spans="3:11" x14ac:dyDescent="0.2">
      <c r="C206" s="407"/>
      <c r="D206" s="407"/>
      <c r="E206" s="407"/>
      <c r="F206" s="407"/>
      <c r="G206" s="407"/>
      <c r="H206" s="407"/>
      <c r="I206" s="407"/>
      <c r="J206" s="407"/>
      <c r="K206" s="407"/>
    </row>
    <row r="207" spans="3:11" x14ac:dyDescent="0.2">
      <c r="C207" s="407"/>
      <c r="D207" s="407"/>
      <c r="E207" s="407"/>
      <c r="F207" s="407"/>
      <c r="G207" s="407"/>
      <c r="H207" s="407"/>
      <c r="I207" s="407"/>
      <c r="J207" s="407"/>
      <c r="K207" s="407"/>
    </row>
    <row r="208" spans="3:11" x14ac:dyDescent="0.2">
      <c r="C208" s="407"/>
      <c r="D208" s="407"/>
      <c r="E208" s="407"/>
      <c r="F208" s="407"/>
      <c r="G208" s="407"/>
      <c r="H208" s="407"/>
      <c r="I208" s="407"/>
      <c r="J208" s="407"/>
      <c r="K208" s="407"/>
    </row>
    <row r="209" spans="3:11" x14ac:dyDescent="0.2">
      <c r="C209" s="407"/>
      <c r="D209" s="407"/>
      <c r="E209" s="407"/>
      <c r="F209" s="407"/>
      <c r="G209" s="407"/>
      <c r="H209" s="407"/>
      <c r="I209" s="407"/>
      <c r="J209" s="407"/>
      <c r="K209" s="407"/>
    </row>
    <row r="210" spans="3:11" x14ac:dyDescent="0.2">
      <c r="C210" s="407"/>
      <c r="D210" s="407"/>
      <c r="E210" s="407"/>
      <c r="F210" s="407"/>
      <c r="G210" s="407"/>
      <c r="H210" s="407"/>
      <c r="I210" s="407"/>
      <c r="J210" s="407"/>
      <c r="K210" s="407"/>
    </row>
    <row r="211" spans="3:11" x14ac:dyDescent="0.2">
      <c r="C211" s="407"/>
      <c r="D211" s="407"/>
      <c r="E211" s="407"/>
      <c r="F211" s="407"/>
      <c r="G211" s="407"/>
      <c r="H211" s="407"/>
      <c r="I211" s="407"/>
      <c r="J211" s="407"/>
      <c r="K211" s="407"/>
    </row>
    <row r="212" spans="3:11" x14ac:dyDescent="0.2">
      <c r="C212" s="407"/>
      <c r="D212" s="407"/>
      <c r="E212" s="407"/>
      <c r="F212" s="407"/>
      <c r="G212" s="407"/>
      <c r="H212" s="407"/>
      <c r="I212" s="407"/>
      <c r="J212" s="407"/>
      <c r="K212" s="407"/>
    </row>
    <row r="213" spans="3:11" x14ac:dyDescent="0.2">
      <c r="C213" s="407"/>
      <c r="D213" s="407"/>
      <c r="E213" s="407"/>
      <c r="F213" s="407"/>
      <c r="G213" s="407"/>
      <c r="H213" s="407"/>
      <c r="I213" s="407"/>
      <c r="J213" s="407"/>
      <c r="K213" s="407"/>
    </row>
    <row r="214" spans="3:11" x14ac:dyDescent="0.2">
      <c r="C214" s="407"/>
      <c r="D214" s="407"/>
      <c r="E214" s="407"/>
      <c r="F214" s="407"/>
      <c r="G214" s="407"/>
      <c r="H214" s="407"/>
      <c r="I214" s="407"/>
      <c r="J214" s="407"/>
      <c r="K214" s="407"/>
    </row>
    <row r="215" spans="3:11" x14ac:dyDescent="0.2">
      <c r="C215" s="407"/>
      <c r="D215" s="407"/>
      <c r="E215" s="407"/>
      <c r="F215" s="407"/>
      <c r="G215" s="407"/>
      <c r="H215" s="407"/>
      <c r="I215" s="407"/>
      <c r="J215" s="407"/>
      <c r="K215" s="407"/>
    </row>
    <row r="216" spans="3:11" x14ac:dyDescent="0.2">
      <c r="C216" s="407"/>
      <c r="D216" s="407"/>
      <c r="E216" s="407"/>
      <c r="F216" s="407"/>
      <c r="G216" s="407"/>
      <c r="H216" s="407"/>
      <c r="I216" s="407"/>
      <c r="J216" s="407"/>
      <c r="K216" s="407"/>
    </row>
    <row r="217" spans="3:11" x14ac:dyDescent="0.2">
      <c r="C217" s="407"/>
      <c r="D217" s="407"/>
      <c r="E217" s="407"/>
      <c r="F217" s="407"/>
      <c r="G217" s="407"/>
      <c r="H217" s="407"/>
      <c r="I217" s="407"/>
      <c r="J217" s="407"/>
      <c r="K217" s="407"/>
    </row>
    <row r="218" spans="3:11" x14ac:dyDescent="0.2">
      <c r="C218" s="407"/>
      <c r="D218" s="407"/>
      <c r="E218" s="407"/>
      <c r="F218" s="407"/>
      <c r="G218" s="407"/>
      <c r="H218" s="407"/>
      <c r="I218" s="407"/>
      <c r="J218" s="407"/>
      <c r="K218" s="407"/>
    </row>
    <row r="219" spans="3:11" x14ac:dyDescent="0.2">
      <c r="C219" s="407"/>
      <c r="D219" s="407"/>
      <c r="E219" s="407"/>
      <c r="F219" s="407"/>
      <c r="G219" s="407"/>
      <c r="H219" s="407"/>
      <c r="I219" s="407"/>
      <c r="J219" s="407"/>
      <c r="K219" s="407"/>
    </row>
    <row r="220" spans="3:11" x14ac:dyDescent="0.2">
      <c r="C220" s="407"/>
      <c r="D220" s="407"/>
      <c r="E220" s="407"/>
      <c r="F220" s="407"/>
      <c r="G220" s="407"/>
      <c r="H220" s="407"/>
      <c r="I220" s="407"/>
      <c r="J220" s="407"/>
      <c r="K220" s="407"/>
    </row>
    <row r="221" spans="3:11" x14ac:dyDescent="0.2">
      <c r="C221" s="407"/>
      <c r="D221" s="407"/>
      <c r="E221" s="407"/>
      <c r="F221" s="407"/>
      <c r="G221" s="407"/>
      <c r="H221" s="407"/>
      <c r="I221" s="407"/>
      <c r="J221" s="407"/>
      <c r="K221" s="407"/>
    </row>
    <row r="222" spans="3:11" x14ac:dyDescent="0.2">
      <c r="C222" s="407"/>
      <c r="D222" s="407"/>
      <c r="E222" s="407"/>
      <c r="F222" s="407"/>
      <c r="G222" s="407"/>
      <c r="H222" s="407"/>
      <c r="I222" s="407"/>
      <c r="J222" s="407"/>
      <c r="K222" s="407"/>
    </row>
    <row r="223" spans="3:11" x14ac:dyDescent="0.2">
      <c r="C223" s="407"/>
      <c r="D223" s="407"/>
      <c r="E223" s="407"/>
      <c r="F223" s="407"/>
      <c r="G223" s="407"/>
      <c r="H223" s="407"/>
      <c r="I223" s="407"/>
      <c r="J223" s="407"/>
      <c r="K223" s="407"/>
    </row>
    <row r="224" spans="3:11" x14ac:dyDescent="0.2">
      <c r="C224" s="407"/>
      <c r="D224" s="407"/>
      <c r="E224" s="407"/>
      <c r="F224" s="407"/>
      <c r="G224" s="407"/>
      <c r="H224" s="407"/>
      <c r="I224" s="407"/>
      <c r="J224" s="407"/>
      <c r="K224" s="407"/>
    </row>
    <row r="225" spans="3:11" x14ac:dyDescent="0.2">
      <c r="C225" s="407"/>
      <c r="D225" s="407"/>
      <c r="E225" s="407"/>
      <c r="F225" s="407"/>
      <c r="G225" s="407"/>
      <c r="H225" s="407"/>
      <c r="I225" s="407"/>
      <c r="J225" s="407"/>
      <c r="K225" s="407"/>
    </row>
    <row r="226" spans="3:11" x14ac:dyDescent="0.2">
      <c r="C226" s="407"/>
      <c r="D226" s="407"/>
      <c r="E226" s="407"/>
      <c r="F226" s="407"/>
      <c r="G226" s="407"/>
      <c r="H226" s="407"/>
      <c r="I226" s="407"/>
      <c r="J226" s="407"/>
      <c r="K226" s="407"/>
    </row>
    <row r="227" spans="3:11" x14ac:dyDescent="0.2">
      <c r="C227" s="407"/>
      <c r="D227" s="407"/>
      <c r="E227" s="407"/>
      <c r="F227" s="407"/>
      <c r="G227" s="407"/>
      <c r="H227" s="407"/>
      <c r="I227" s="407"/>
      <c r="J227" s="407"/>
      <c r="K227" s="407"/>
    </row>
    <row r="228" spans="3:11" x14ac:dyDescent="0.2">
      <c r="C228" s="407"/>
      <c r="D228" s="407"/>
      <c r="E228" s="407"/>
      <c r="F228" s="407"/>
      <c r="G228" s="407"/>
      <c r="H228" s="407"/>
      <c r="I228" s="407"/>
      <c r="J228" s="407"/>
      <c r="K228" s="407"/>
    </row>
    <row r="229" spans="3:11" x14ac:dyDescent="0.2">
      <c r="C229" s="407"/>
      <c r="D229" s="407"/>
      <c r="E229" s="407"/>
      <c r="F229" s="407"/>
      <c r="G229" s="407"/>
      <c r="H229" s="407"/>
      <c r="I229" s="407"/>
      <c r="J229" s="407"/>
      <c r="K229" s="407"/>
    </row>
    <row r="230" spans="3:11" x14ac:dyDescent="0.2">
      <c r="C230" s="407"/>
      <c r="D230" s="407"/>
      <c r="E230" s="407"/>
      <c r="F230" s="407"/>
      <c r="G230" s="407"/>
      <c r="H230" s="407"/>
      <c r="I230" s="407"/>
      <c r="J230" s="407"/>
      <c r="K230" s="407"/>
    </row>
    <row r="231" spans="3:11" x14ac:dyDescent="0.2">
      <c r="C231" s="407"/>
      <c r="D231" s="407"/>
      <c r="E231" s="407"/>
      <c r="F231" s="407"/>
      <c r="G231" s="407"/>
      <c r="H231" s="407"/>
      <c r="I231" s="407"/>
      <c r="J231" s="407"/>
      <c r="K231" s="407"/>
    </row>
    <row r="232" spans="3:11" x14ac:dyDescent="0.2">
      <c r="C232" s="407"/>
      <c r="D232" s="407"/>
      <c r="E232" s="407"/>
      <c r="F232" s="407"/>
      <c r="G232" s="407"/>
      <c r="H232" s="407"/>
      <c r="I232" s="407"/>
      <c r="J232" s="407"/>
      <c r="K232" s="407"/>
    </row>
    <row r="233" spans="3:11" x14ac:dyDescent="0.2">
      <c r="C233" s="407"/>
      <c r="D233" s="407"/>
      <c r="E233" s="407"/>
      <c r="F233" s="407"/>
      <c r="G233" s="407"/>
      <c r="H233" s="407"/>
      <c r="I233" s="407"/>
      <c r="J233" s="407"/>
      <c r="K233" s="407"/>
    </row>
    <row r="234" spans="3:11" x14ac:dyDescent="0.2">
      <c r="C234" s="407"/>
      <c r="D234" s="407"/>
      <c r="E234" s="407"/>
      <c r="F234" s="407"/>
      <c r="G234" s="407"/>
      <c r="H234" s="407"/>
      <c r="I234" s="407"/>
      <c r="J234" s="407"/>
      <c r="K234" s="407"/>
    </row>
    <row r="235" spans="3:11" x14ac:dyDescent="0.2">
      <c r="C235" s="407"/>
      <c r="D235" s="407"/>
      <c r="E235" s="407"/>
      <c r="F235" s="407"/>
      <c r="G235" s="407"/>
      <c r="H235" s="407"/>
      <c r="I235" s="407"/>
      <c r="J235" s="407"/>
      <c r="K235" s="407"/>
    </row>
    <row r="236" spans="3:11" x14ac:dyDescent="0.2">
      <c r="C236" s="407"/>
      <c r="D236" s="407"/>
      <c r="E236" s="407"/>
      <c r="F236" s="407"/>
      <c r="G236" s="407"/>
      <c r="H236" s="407"/>
      <c r="I236" s="407"/>
      <c r="J236" s="407"/>
      <c r="K236" s="407"/>
    </row>
    <row r="237" spans="3:11" x14ac:dyDescent="0.2">
      <c r="C237" s="407"/>
      <c r="D237" s="407"/>
      <c r="E237" s="407"/>
      <c r="F237" s="407"/>
      <c r="G237" s="407"/>
      <c r="H237" s="407"/>
      <c r="I237" s="407"/>
      <c r="J237" s="407"/>
      <c r="K237" s="407"/>
    </row>
    <row r="238" spans="3:11" x14ac:dyDescent="0.2">
      <c r="C238" s="407"/>
      <c r="D238" s="407"/>
      <c r="E238" s="407"/>
      <c r="F238" s="407"/>
      <c r="G238" s="407"/>
      <c r="H238" s="407"/>
      <c r="I238" s="407"/>
      <c r="J238" s="407"/>
      <c r="K238" s="407"/>
    </row>
    <row r="239" spans="3:11" x14ac:dyDescent="0.2">
      <c r="C239" s="407"/>
      <c r="D239" s="407"/>
      <c r="E239" s="407"/>
      <c r="F239" s="407"/>
      <c r="G239" s="407"/>
      <c r="H239" s="407"/>
      <c r="I239" s="407"/>
      <c r="J239" s="407"/>
      <c r="K239" s="407"/>
    </row>
    <row r="240" spans="3:11" x14ac:dyDescent="0.2">
      <c r="C240" s="407"/>
      <c r="D240" s="407"/>
      <c r="E240" s="407"/>
      <c r="F240" s="407"/>
      <c r="G240" s="407"/>
      <c r="H240" s="407"/>
      <c r="I240" s="407"/>
      <c r="J240" s="407"/>
      <c r="K240" s="407"/>
    </row>
    <row r="241" spans="3:11" x14ac:dyDescent="0.2">
      <c r="C241" s="407"/>
      <c r="D241" s="407"/>
      <c r="E241" s="407"/>
      <c r="F241" s="407"/>
      <c r="G241" s="407"/>
      <c r="H241" s="407"/>
      <c r="I241" s="407"/>
      <c r="J241" s="407"/>
      <c r="K241" s="407"/>
    </row>
    <row r="242" spans="3:11" x14ac:dyDescent="0.2">
      <c r="C242" s="407"/>
      <c r="D242" s="407"/>
      <c r="E242" s="407"/>
      <c r="F242" s="407"/>
      <c r="G242" s="407"/>
      <c r="H242" s="407"/>
      <c r="I242" s="407"/>
      <c r="J242" s="407"/>
      <c r="K242" s="407"/>
    </row>
    <row r="243" spans="3:11" x14ac:dyDescent="0.2">
      <c r="C243" s="407"/>
      <c r="D243" s="407"/>
      <c r="E243" s="407"/>
      <c r="F243" s="407"/>
      <c r="G243" s="407"/>
      <c r="H243" s="407"/>
      <c r="I243" s="407"/>
      <c r="J243" s="407"/>
      <c r="K243" s="407"/>
    </row>
  </sheetData>
  <mergeCells count="2">
    <mergeCell ref="C3:E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36"/>
  <sheetViews>
    <sheetView tabSelected="1" workbookViewId="0">
      <selection activeCell="D37" sqref="D37"/>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1.85546875" style="188" customWidth="1"/>
    <col min="5" max="5" width="14.42578125" style="188" customWidth="1"/>
    <col min="6" max="6" width="12.140625" style="238" bestFit="1" customWidth="1"/>
    <col min="7" max="7" width="13.5703125" style="188" customWidth="1"/>
    <col min="8" max="8" width="4.28515625" style="238" customWidth="1"/>
    <col min="9" max="9" width="75.7109375" style="188" bestFit="1" customWidth="1"/>
    <col min="10" max="10" width="9.5703125" style="188" bestFit="1" customWidth="1"/>
    <col min="11" max="16384" width="9.140625" style="188"/>
  </cols>
  <sheetData>
    <row r="1" spans="1:9" ht="12.75" customHeight="1" x14ac:dyDescent="0.2">
      <c r="A1" s="189"/>
      <c r="B1" s="616" t="s">
        <v>617</v>
      </c>
      <c r="C1" s="216"/>
      <c r="I1" s="243"/>
    </row>
    <row r="2" spans="1:9" ht="12.75" customHeight="1" x14ac:dyDescent="0.2">
      <c r="B2" s="237" t="str">
        <f>'1461'!A3</f>
        <v>Based on the FLDOE 2024-25 Third Calculation</v>
      </c>
      <c r="C2" s="217"/>
      <c r="E2" s="229"/>
      <c r="F2" s="239"/>
      <c r="G2" s="229"/>
      <c r="I2" s="252"/>
    </row>
    <row r="3" spans="1:9" ht="12.75" customHeight="1" thickBot="1" x14ac:dyDescent="0.25">
      <c r="B3" s="190"/>
      <c r="C3" s="217"/>
      <c r="E3" s="229"/>
      <c r="F3" s="754"/>
      <c r="G3" s="754"/>
      <c r="I3" s="252"/>
    </row>
    <row r="4" spans="1:9" ht="12.75" customHeight="1" thickBot="1" x14ac:dyDescent="0.25">
      <c r="A4" s="191"/>
      <c r="B4" s="192" t="s">
        <v>156</v>
      </c>
      <c r="C4" s="220" t="s">
        <v>226</v>
      </c>
      <c r="D4" s="193" t="s">
        <v>157</v>
      </c>
      <c r="E4" s="233" t="s">
        <v>2</v>
      </c>
      <c r="F4" s="270" t="s">
        <v>250</v>
      </c>
      <c r="G4" s="233" t="s">
        <v>231</v>
      </c>
      <c r="I4" s="332" t="s">
        <v>277</v>
      </c>
    </row>
    <row r="5" spans="1:9" ht="12.75" customHeight="1" x14ac:dyDescent="0.2">
      <c r="A5" s="198">
        <v>1</v>
      </c>
      <c r="B5" s="730" t="s">
        <v>584</v>
      </c>
      <c r="C5" s="731" t="s">
        <v>587</v>
      </c>
      <c r="D5" s="732" t="s">
        <v>622</v>
      </c>
      <c r="E5" s="200">
        <f>'0040'!I$145</f>
        <v>24451.48</v>
      </c>
      <c r="F5" s="733"/>
      <c r="G5" s="200">
        <f>SUBTOTAL(109,E5:F7)</f>
        <v>24451.48</v>
      </c>
      <c r="I5" s="695"/>
    </row>
    <row r="6" spans="1:9" ht="12.75" hidden="1" customHeight="1" x14ac:dyDescent="0.2">
      <c r="A6" s="191"/>
      <c r="B6" s="704"/>
      <c r="C6" s="693"/>
      <c r="D6" s="709"/>
      <c r="E6" s="694"/>
      <c r="F6" s="239"/>
      <c r="G6" s="694"/>
      <c r="I6" s="351"/>
    </row>
    <row r="7" spans="1:9" ht="12.75" hidden="1" customHeight="1" x14ac:dyDescent="0.2">
      <c r="A7" s="191"/>
      <c r="B7" s="704"/>
      <c r="C7" s="693"/>
      <c r="D7" s="709"/>
      <c r="E7" s="694"/>
      <c r="F7" s="239"/>
      <c r="G7" s="694"/>
      <c r="I7" s="352" t="s">
        <v>342</v>
      </c>
    </row>
    <row r="8" spans="1:9" ht="12.75" customHeight="1" x14ac:dyDescent="0.2">
      <c r="A8" s="194">
        <v>2</v>
      </c>
      <c r="B8" s="706" t="s">
        <v>585</v>
      </c>
      <c r="C8" s="705" t="s">
        <v>591</v>
      </c>
      <c r="D8" s="708" t="str">
        <f>D5</f>
        <v>FTE July 2025</v>
      </c>
      <c r="E8" s="702">
        <f>'0100'!I$145</f>
        <v>22293.06</v>
      </c>
      <c r="F8" s="239"/>
      <c r="G8" s="702">
        <f>SUBTOTAL(109,E8:F10)</f>
        <v>22293.06</v>
      </c>
      <c r="I8" s="422"/>
    </row>
    <row r="9" spans="1:9" ht="12.75" hidden="1" customHeight="1" x14ac:dyDescent="0.2">
      <c r="A9" s="191"/>
      <c r="B9" s="704"/>
      <c r="C9" s="693"/>
      <c r="D9" s="709"/>
      <c r="E9" s="694"/>
      <c r="F9" s="239"/>
      <c r="G9" s="694"/>
      <c r="I9" s="422"/>
    </row>
    <row r="10" spans="1:9" ht="12.75" hidden="1" customHeight="1" x14ac:dyDescent="0.2">
      <c r="A10" s="191"/>
      <c r="B10" s="693"/>
      <c r="C10" s="693"/>
      <c r="D10" s="694"/>
      <c r="E10" s="694"/>
      <c r="F10" s="239"/>
      <c r="G10" s="694"/>
      <c r="I10" s="351"/>
    </row>
    <row r="11" spans="1:9" ht="12.75" hidden="1" customHeight="1" x14ac:dyDescent="0.2">
      <c r="A11" s="191"/>
      <c r="B11" s="693"/>
      <c r="C11" s="693"/>
      <c r="D11" s="694"/>
      <c r="E11" s="694"/>
      <c r="F11" s="239"/>
      <c r="G11" s="694"/>
      <c r="I11" s="353"/>
    </row>
    <row r="12" spans="1:9" s="260" customFormat="1" ht="13.5" customHeight="1" x14ac:dyDescent="0.2">
      <c r="A12" s="198">
        <v>3</v>
      </c>
      <c r="B12" s="199" t="s">
        <v>158</v>
      </c>
      <c r="C12" s="219" t="s">
        <v>190</v>
      </c>
      <c r="D12" s="707" t="s">
        <v>622</v>
      </c>
      <c r="E12" s="200">
        <f>'1461'!I$145</f>
        <v>485398.34</v>
      </c>
      <c r="F12" s="343"/>
      <c r="G12" s="200">
        <f>SUBTOTAL(109,E12:F36)</f>
        <v>408127.69000000006</v>
      </c>
      <c r="H12" s="259"/>
      <c r="I12" s="353"/>
    </row>
    <row r="13" spans="1:9" s="260" customFormat="1" ht="12.75" hidden="1" customHeight="1" x14ac:dyDescent="0.2">
      <c r="A13" s="198"/>
      <c r="B13" s="199"/>
      <c r="C13" s="219"/>
      <c r="D13" s="232" t="s">
        <v>278</v>
      </c>
      <c r="E13" s="200"/>
      <c r="F13" s="343"/>
      <c r="G13" s="200"/>
      <c r="H13" s="259"/>
      <c r="I13" s="352" t="s">
        <v>342</v>
      </c>
    </row>
    <row r="14" spans="1:9" s="260" customFormat="1" ht="12.75" hidden="1" customHeight="1" x14ac:dyDescent="0.2">
      <c r="A14" s="198"/>
      <c r="B14" s="199"/>
      <c r="C14" s="219"/>
      <c r="D14" s="421" t="s">
        <v>535</v>
      </c>
      <c r="E14" s="200"/>
      <c r="F14" s="343"/>
      <c r="G14" s="200"/>
      <c r="H14" s="259"/>
      <c r="I14" s="352"/>
    </row>
    <row r="15" spans="1:9" s="260" customFormat="1" ht="12.75" hidden="1" customHeight="1" x14ac:dyDescent="0.2">
      <c r="A15" s="198"/>
      <c r="B15" s="199"/>
      <c r="C15" s="219"/>
      <c r="D15" s="232" t="s">
        <v>280</v>
      </c>
      <c r="E15" s="200"/>
      <c r="F15" s="343"/>
      <c r="G15" s="200"/>
      <c r="H15" s="259"/>
      <c r="I15" s="352"/>
    </row>
    <row r="16" spans="1:9" s="260" customFormat="1" ht="12.75" hidden="1" customHeight="1" thickBot="1" x14ac:dyDescent="0.25">
      <c r="A16" s="198"/>
      <c r="B16" s="199"/>
      <c r="C16" s="219"/>
      <c r="D16" s="232" t="s">
        <v>279</v>
      </c>
      <c r="E16" s="200"/>
      <c r="F16" s="343"/>
      <c r="G16" s="200"/>
      <c r="H16" s="259"/>
      <c r="I16" s="550"/>
    </row>
    <row r="17" spans="1:9" s="260" customFormat="1" ht="12.75" hidden="1" customHeight="1" x14ac:dyDescent="0.2">
      <c r="A17" s="198"/>
      <c r="B17" s="199"/>
      <c r="C17" s="219"/>
      <c r="D17" s="232" t="s">
        <v>288</v>
      </c>
      <c r="E17" s="200"/>
      <c r="F17" s="343"/>
      <c r="G17" s="200"/>
      <c r="H17" s="259"/>
      <c r="I17" s="351"/>
    </row>
    <row r="18" spans="1:9" s="260" customFormat="1" ht="12.75" hidden="1" customHeight="1" x14ac:dyDescent="0.2">
      <c r="A18" s="198"/>
      <c r="B18" s="199"/>
      <c r="C18" s="219"/>
      <c r="D18" s="232" t="s">
        <v>257</v>
      </c>
      <c r="E18" s="200"/>
      <c r="F18" s="343"/>
      <c r="G18" s="200"/>
      <c r="H18" s="259"/>
      <c r="I18" s="353"/>
    </row>
    <row r="19" spans="1:9" s="260" customFormat="1" ht="12.75" customHeight="1" thickBot="1" x14ac:dyDescent="0.25">
      <c r="A19" s="198"/>
      <c r="B19" s="199"/>
      <c r="C19" s="228"/>
      <c r="D19" s="279" t="s">
        <v>284</v>
      </c>
      <c r="E19" s="200"/>
      <c r="F19" s="343">
        <v>-74738.62</v>
      </c>
      <c r="G19" s="200"/>
      <c r="H19" s="259"/>
      <c r="I19" s="696"/>
    </row>
    <row r="20" spans="1:9" s="260" customFormat="1" ht="12.75" customHeight="1" x14ac:dyDescent="0.2">
      <c r="A20" s="198"/>
      <c r="B20" s="199"/>
      <c r="C20" s="228"/>
      <c r="D20" s="279" t="s">
        <v>229</v>
      </c>
      <c r="E20" s="200"/>
      <c r="F20" s="343">
        <v>0</v>
      </c>
      <c r="G20" s="200"/>
      <c r="H20" s="259"/>
    </row>
    <row r="21" spans="1:9" s="260" customFormat="1" ht="12.75" customHeight="1" x14ac:dyDescent="0.2">
      <c r="A21" s="198"/>
      <c r="B21" s="199"/>
      <c r="C21" s="228"/>
      <c r="D21" s="279" t="s">
        <v>230</v>
      </c>
      <c r="E21" s="200"/>
      <c r="F21" s="343">
        <v>-266.12</v>
      </c>
      <c r="G21" s="200"/>
      <c r="H21" s="259"/>
      <c r="I21" s="697"/>
    </row>
    <row r="22" spans="1:9" s="260" customFormat="1" ht="12.75" customHeight="1" x14ac:dyDescent="0.2">
      <c r="A22" s="198"/>
      <c r="B22" s="199"/>
      <c r="C22" s="228"/>
      <c r="D22" s="315" t="s">
        <v>496</v>
      </c>
      <c r="E22" s="200"/>
      <c r="F22" s="343">
        <v>-94.48</v>
      </c>
      <c r="G22" s="200"/>
      <c r="H22" s="259"/>
      <c r="I22" s="697"/>
    </row>
    <row r="23" spans="1:9" s="260" customFormat="1" ht="12.75" customHeight="1" x14ac:dyDescent="0.2">
      <c r="A23" s="198"/>
      <c r="B23" s="199"/>
      <c r="C23" s="228"/>
      <c r="D23" s="279" t="s">
        <v>350</v>
      </c>
      <c r="E23" s="200"/>
      <c r="F23" s="343">
        <v>-90</v>
      </c>
      <c r="G23" s="200"/>
      <c r="H23" s="259"/>
      <c r="I23" s="698"/>
    </row>
    <row r="24" spans="1:9" s="260" customFormat="1" ht="12.75" hidden="1" customHeight="1" x14ac:dyDescent="0.2">
      <c r="A24" s="198"/>
      <c r="B24" s="199"/>
      <c r="C24" s="423" t="s">
        <v>407</v>
      </c>
      <c r="D24" s="315" t="s">
        <v>382</v>
      </c>
      <c r="E24" s="200"/>
      <c r="F24" s="343"/>
      <c r="G24" s="200"/>
      <c r="H24" s="259"/>
      <c r="I24" s="698"/>
    </row>
    <row r="25" spans="1:9" s="260" customFormat="1" ht="12.75" hidden="1" customHeight="1" x14ac:dyDescent="0.2">
      <c r="A25" s="198"/>
      <c r="B25" s="199"/>
      <c r="C25" s="228"/>
      <c r="D25" s="315" t="s">
        <v>388</v>
      </c>
      <c r="E25" s="200"/>
      <c r="F25" s="343"/>
      <c r="G25" s="200"/>
      <c r="H25" s="259"/>
      <c r="I25" s="699"/>
    </row>
    <row r="26" spans="1:9" s="260" customFormat="1" ht="12.75" hidden="1" customHeight="1" x14ac:dyDescent="0.2">
      <c r="A26" s="198"/>
      <c r="B26" s="199"/>
      <c r="C26" s="228"/>
      <c r="D26" s="315"/>
      <c r="E26" s="200"/>
      <c r="F26" s="343"/>
      <c r="G26" s="200"/>
      <c r="H26" s="259"/>
      <c r="I26" s="699"/>
    </row>
    <row r="27" spans="1:9" s="260" customFormat="1" ht="12.75" hidden="1" customHeight="1" x14ac:dyDescent="0.2">
      <c r="A27" s="198"/>
      <c r="B27" s="199"/>
      <c r="C27" s="228"/>
      <c r="D27" s="315"/>
      <c r="E27" s="200"/>
      <c r="F27" s="343"/>
      <c r="G27" s="200"/>
      <c r="H27" s="259"/>
      <c r="I27" s="699"/>
    </row>
    <row r="28" spans="1:9" s="260" customFormat="1" ht="12.75" hidden="1" customHeight="1" x14ac:dyDescent="0.2">
      <c r="A28" s="198"/>
      <c r="B28" s="199"/>
      <c r="C28" s="228"/>
      <c r="D28" s="315" t="s">
        <v>404</v>
      </c>
      <c r="E28" s="200"/>
      <c r="F28" s="343"/>
      <c r="G28" s="200"/>
      <c r="H28" s="259"/>
      <c r="I28" s="700"/>
    </row>
    <row r="29" spans="1:9" s="260" customFormat="1" ht="12.75" hidden="1" customHeight="1" x14ac:dyDescent="0.2">
      <c r="A29" s="198"/>
      <c r="B29" s="199"/>
      <c r="C29" s="228"/>
      <c r="D29" s="315" t="s">
        <v>405</v>
      </c>
      <c r="E29" s="200"/>
      <c r="F29" s="343"/>
      <c r="G29" s="200"/>
      <c r="H29" s="259"/>
      <c r="I29" s="697"/>
    </row>
    <row r="30" spans="1:9" s="260" customFormat="1" ht="12.75" hidden="1" customHeight="1" x14ac:dyDescent="0.2">
      <c r="A30" s="198"/>
      <c r="B30" s="199"/>
      <c r="C30" s="228"/>
      <c r="D30" s="315" t="s">
        <v>406</v>
      </c>
      <c r="E30" s="200"/>
      <c r="F30" s="343"/>
      <c r="G30" s="200"/>
      <c r="H30" s="259"/>
      <c r="I30" s="700"/>
    </row>
    <row r="31" spans="1:9" s="260" customFormat="1" ht="12.75" hidden="1" customHeight="1" x14ac:dyDescent="0.2">
      <c r="A31" s="198"/>
      <c r="B31" s="199"/>
      <c r="C31" s="228"/>
      <c r="D31" s="315" t="s">
        <v>408</v>
      </c>
      <c r="E31" s="200"/>
      <c r="F31" s="343"/>
      <c r="G31" s="200"/>
      <c r="H31" s="259"/>
      <c r="I31" s="697"/>
    </row>
    <row r="32" spans="1:9" s="260" customFormat="1" ht="12.75" hidden="1" customHeight="1" x14ac:dyDescent="0.2">
      <c r="A32" s="198"/>
      <c r="B32" s="199"/>
      <c r="C32" s="228"/>
      <c r="D32" s="315"/>
      <c r="E32" s="200"/>
      <c r="F32" s="343"/>
      <c r="G32" s="200"/>
      <c r="H32" s="259"/>
      <c r="I32" s="701"/>
    </row>
    <row r="33" spans="1:12" s="260" customFormat="1" ht="12.75" hidden="1" customHeight="1" x14ac:dyDescent="0.2">
      <c r="A33" s="198"/>
      <c r="B33" s="199"/>
      <c r="C33" s="228"/>
      <c r="D33" s="315"/>
      <c r="E33" s="200"/>
      <c r="F33" s="343"/>
      <c r="G33" s="200"/>
      <c r="H33" s="259"/>
      <c r="I33" s="335"/>
    </row>
    <row r="34" spans="1:12" s="260" customFormat="1" ht="12.75" hidden="1" customHeight="1" x14ac:dyDescent="0.2">
      <c r="A34" s="198"/>
      <c r="B34" s="199"/>
      <c r="C34" s="228"/>
      <c r="D34" s="315" t="s">
        <v>611</v>
      </c>
      <c r="E34" s="200"/>
      <c r="F34" s="343"/>
      <c r="G34" s="200"/>
      <c r="H34" s="259"/>
      <c r="I34" s="335"/>
    </row>
    <row r="35" spans="1:12" s="260" customFormat="1" ht="12.75" hidden="1" customHeight="1" x14ac:dyDescent="0.2">
      <c r="A35" s="198"/>
      <c r="B35" s="199"/>
      <c r="C35" s="228"/>
      <c r="D35" s="315" t="s">
        <v>612</v>
      </c>
      <c r="E35" s="200"/>
      <c r="F35" s="343"/>
      <c r="G35" s="200"/>
      <c r="H35" s="259"/>
      <c r="I35" s="335"/>
    </row>
    <row r="36" spans="1:12" s="260" customFormat="1" ht="12.75" customHeight="1" x14ac:dyDescent="0.2">
      <c r="A36" s="198"/>
      <c r="B36" s="199"/>
      <c r="C36" s="228"/>
      <c r="D36" s="315" t="s">
        <v>626</v>
      </c>
      <c r="E36" s="200"/>
      <c r="F36" s="343">
        <v>-2081.4299999999998</v>
      </c>
      <c r="G36" s="200"/>
      <c r="H36" s="259"/>
      <c r="I36" s="742"/>
    </row>
    <row r="37" spans="1:12" s="260" customFormat="1" ht="12.75" customHeight="1" x14ac:dyDescent="0.2">
      <c r="A37" s="194">
        <f>1+A12</f>
        <v>4</v>
      </c>
      <c r="B37" s="195" t="s">
        <v>159</v>
      </c>
      <c r="C37" s="218" t="s">
        <v>192</v>
      </c>
      <c r="D37" s="545" t="str">
        <f>$D$12</f>
        <v>FTE July 2025</v>
      </c>
      <c r="E37" s="197">
        <f>'1571'!I$145</f>
        <v>795164.86</v>
      </c>
      <c r="F37" s="344"/>
      <c r="G37" s="197">
        <f>SUBTOTAL(109,E37:F52)</f>
        <v>794824.74</v>
      </c>
      <c r="H37" s="259"/>
      <c r="I37" s="338"/>
    </row>
    <row r="38" spans="1:12" s="260" customFormat="1" ht="12.75" hidden="1" customHeight="1" x14ac:dyDescent="0.2">
      <c r="A38" s="194"/>
      <c r="B38" s="195"/>
      <c r="C38" s="408"/>
      <c r="D38" s="231" t="s">
        <v>278</v>
      </c>
      <c r="E38" s="197"/>
      <c r="F38" s="344"/>
      <c r="G38" s="197"/>
      <c r="H38" s="259"/>
      <c r="I38" s="338"/>
    </row>
    <row r="39" spans="1:12" s="260" customFormat="1" ht="12.75" hidden="1" customHeight="1" x14ac:dyDescent="0.2">
      <c r="A39" s="194"/>
      <c r="B39" s="195"/>
      <c r="C39" s="218"/>
      <c r="D39" s="354" t="s">
        <v>535</v>
      </c>
      <c r="E39" s="197"/>
      <c r="F39" s="344"/>
      <c r="G39" s="197"/>
      <c r="H39" s="259"/>
      <c r="I39" s="338"/>
    </row>
    <row r="40" spans="1:12" s="260" customFormat="1" ht="12.75" hidden="1" customHeight="1" x14ac:dyDescent="0.2">
      <c r="A40" s="194"/>
      <c r="B40" s="195"/>
      <c r="C40" s="240"/>
      <c r="D40" s="354" t="s">
        <v>395</v>
      </c>
      <c r="E40" s="197"/>
      <c r="F40" s="344"/>
      <c r="G40" s="197"/>
      <c r="H40" s="259"/>
      <c r="I40" s="338"/>
    </row>
    <row r="41" spans="1:12" s="260" customFormat="1" ht="12.75" hidden="1" customHeight="1" x14ac:dyDescent="0.2">
      <c r="A41" s="194"/>
      <c r="B41" s="195"/>
      <c r="C41" s="218"/>
      <c r="D41" s="231" t="s">
        <v>280</v>
      </c>
      <c r="E41" s="197"/>
      <c r="F41" s="344"/>
      <c r="G41" s="197"/>
      <c r="H41" s="259"/>
      <c r="I41" s="338"/>
      <c r="L41" s="334">
        <v>44630</v>
      </c>
    </row>
    <row r="42" spans="1:12" s="260" customFormat="1" ht="12.75" hidden="1" customHeight="1" x14ac:dyDescent="0.2">
      <c r="A42" s="194"/>
      <c r="B42" s="195"/>
      <c r="C42" s="218"/>
      <c r="D42" s="231" t="s">
        <v>279</v>
      </c>
      <c r="E42" s="197"/>
      <c r="F42" s="344"/>
      <c r="G42" s="197"/>
      <c r="H42" s="259"/>
      <c r="I42" s="338"/>
      <c r="L42" s="334">
        <f>L41-60</f>
        <v>44570</v>
      </c>
    </row>
    <row r="43" spans="1:12" s="260" customFormat="1" ht="12.75" hidden="1" customHeight="1" x14ac:dyDescent="0.2">
      <c r="A43" s="194"/>
      <c r="B43" s="195"/>
      <c r="C43" s="218"/>
      <c r="D43" s="231" t="s">
        <v>288</v>
      </c>
      <c r="E43" s="197"/>
      <c r="F43" s="344"/>
      <c r="G43" s="197"/>
      <c r="H43" s="259"/>
      <c r="I43" s="338"/>
    </row>
    <row r="44" spans="1:12" s="260" customFormat="1" ht="12.75" hidden="1" customHeight="1" x14ac:dyDescent="0.2">
      <c r="A44" s="194"/>
      <c r="B44" s="195"/>
      <c r="C44" s="218"/>
      <c r="D44" s="231" t="s">
        <v>257</v>
      </c>
      <c r="E44" s="197"/>
      <c r="F44" s="344"/>
      <c r="G44" s="197"/>
      <c r="H44" s="259"/>
      <c r="I44" s="338"/>
    </row>
    <row r="45" spans="1:12" s="260" customFormat="1" ht="12.75" customHeight="1" x14ac:dyDescent="0.2">
      <c r="A45" s="194"/>
      <c r="B45" s="195"/>
      <c r="C45" s="230"/>
      <c r="D45" s="276" t="s">
        <v>229</v>
      </c>
      <c r="E45" s="197"/>
      <c r="F45" s="344">
        <v>0</v>
      </c>
      <c r="G45" s="197"/>
      <c r="H45" s="259"/>
      <c r="I45" s="338"/>
    </row>
    <row r="46" spans="1:12" s="260" customFormat="1" ht="12.75" customHeight="1" x14ac:dyDescent="0.2">
      <c r="A46" s="194"/>
      <c r="B46" s="195"/>
      <c r="C46" s="230"/>
      <c r="D46" s="276" t="s">
        <v>230</v>
      </c>
      <c r="E46" s="197"/>
      <c r="F46" s="344">
        <v>-155.63999999999999</v>
      </c>
      <c r="G46" s="197"/>
      <c r="H46" s="259"/>
      <c r="I46" s="335"/>
    </row>
    <row r="47" spans="1:12" s="260" customFormat="1" ht="12.75" customHeight="1" x14ac:dyDescent="0.2">
      <c r="A47" s="194"/>
      <c r="B47" s="195"/>
      <c r="C47" s="230"/>
      <c r="D47" s="276" t="s">
        <v>496</v>
      </c>
      <c r="E47" s="197"/>
      <c r="F47" s="344">
        <v>-94.48</v>
      </c>
      <c r="G47" s="197"/>
      <c r="H47" s="259"/>
      <c r="I47" s="335"/>
    </row>
    <row r="48" spans="1:12" s="260" customFormat="1" ht="12.75" customHeight="1" x14ac:dyDescent="0.2">
      <c r="A48" s="194"/>
      <c r="B48" s="195"/>
      <c r="C48" s="230"/>
      <c r="D48" s="276" t="s">
        <v>350</v>
      </c>
      <c r="E48" s="197"/>
      <c r="F48" s="344">
        <v>-90</v>
      </c>
      <c r="G48" s="197"/>
      <c r="H48" s="259"/>
      <c r="I48" s="335"/>
    </row>
    <row r="49" spans="1:13" s="260" customFormat="1" ht="12.75" hidden="1" customHeight="1" x14ac:dyDescent="0.2">
      <c r="A49" s="194"/>
      <c r="B49" s="195"/>
      <c r="C49" s="424"/>
      <c r="D49" s="608" t="s">
        <v>578</v>
      </c>
      <c r="E49" s="197"/>
      <c r="F49" s="344"/>
      <c r="G49" s="197"/>
      <c r="H49" s="296"/>
      <c r="I49" s="335"/>
    </row>
    <row r="50" spans="1:13" s="260" customFormat="1" ht="12.75" hidden="1" customHeight="1" x14ac:dyDescent="0.2">
      <c r="A50" s="194"/>
      <c r="B50" s="195"/>
      <c r="C50" s="230"/>
      <c r="D50" s="355" t="s">
        <v>388</v>
      </c>
      <c r="E50" s="197"/>
      <c r="F50" s="344"/>
      <c r="G50" s="197"/>
      <c r="H50" s="259"/>
      <c r="I50" s="335"/>
    </row>
    <row r="51" spans="1:13" s="260" customFormat="1" ht="12.75" hidden="1" customHeight="1" x14ac:dyDescent="0.2">
      <c r="A51" s="194"/>
      <c r="B51" s="195"/>
      <c r="C51" s="230"/>
      <c r="D51" s="276" t="s">
        <v>594</v>
      </c>
      <c r="E51" s="197"/>
      <c r="F51" s="344"/>
      <c r="G51" s="197"/>
      <c r="H51" s="259"/>
      <c r="I51" s="335"/>
    </row>
    <row r="52" spans="1:13" s="260" customFormat="1" ht="12.75" hidden="1" customHeight="1" x14ac:dyDescent="0.2">
      <c r="A52" s="194"/>
      <c r="B52" s="195"/>
      <c r="C52" s="230"/>
      <c r="D52" s="488" t="s">
        <v>534</v>
      </c>
      <c r="E52" s="197"/>
      <c r="F52" s="344"/>
      <c r="G52" s="197"/>
      <c r="H52" s="259"/>
      <c r="I52" s="335"/>
    </row>
    <row r="53" spans="1:13" s="260" customFormat="1" ht="12.75" customHeight="1" x14ac:dyDescent="0.2">
      <c r="A53" s="198">
        <f>1+A37</f>
        <v>5</v>
      </c>
      <c r="B53" s="199" t="s">
        <v>160</v>
      </c>
      <c r="C53" s="219" t="s">
        <v>193</v>
      </c>
      <c r="D53" s="277" t="str">
        <f>$D$12</f>
        <v>FTE July 2025</v>
      </c>
      <c r="E53" s="200">
        <f>'2521'!I$145</f>
        <v>112200.54</v>
      </c>
      <c r="F53" s="343"/>
      <c r="G53" s="200">
        <f>SUBTOTAL(109,E53:F59)</f>
        <v>112200.54</v>
      </c>
      <c r="H53" s="259"/>
      <c r="I53" s="335"/>
    </row>
    <row r="54" spans="1:13" s="260" customFormat="1" ht="12.75" hidden="1" customHeight="1" x14ac:dyDescent="0.2">
      <c r="A54" s="198"/>
      <c r="B54" s="199"/>
      <c r="C54" s="219"/>
      <c r="D54" s="232" t="s">
        <v>278</v>
      </c>
      <c r="E54" s="200"/>
      <c r="F54" s="343"/>
      <c r="G54" s="200"/>
      <c r="H54" s="259"/>
      <c r="I54" s="335"/>
    </row>
    <row r="55" spans="1:13" s="260" customFormat="1" ht="12.75" hidden="1" customHeight="1" x14ac:dyDescent="0.2">
      <c r="A55" s="198"/>
      <c r="B55" s="199"/>
      <c r="C55" s="219"/>
      <c r="D55" s="232" t="s">
        <v>280</v>
      </c>
      <c r="E55" s="200"/>
      <c r="F55" s="343"/>
      <c r="G55" s="200"/>
      <c r="H55" s="259"/>
      <c r="I55" s="335"/>
    </row>
    <row r="56" spans="1:13" s="260" customFormat="1" ht="12.75" hidden="1" customHeight="1" x14ac:dyDescent="0.2">
      <c r="A56" s="198"/>
      <c r="B56" s="199"/>
      <c r="C56" s="219"/>
      <c r="D56" s="232" t="s">
        <v>279</v>
      </c>
      <c r="E56" s="200"/>
      <c r="F56" s="343"/>
      <c r="G56" s="200"/>
      <c r="H56" s="259"/>
      <c r="I56" s="335"/>
    </row>
    <row r="57" spans="1:13" s="260" customFormat="1" ht="12.75" hidden="1" customHeight="1" x14ac:dyDescent="0.2">
      <c r="A57" s="198"/>
      <c r="B57" s="199"/>
      <c r="C57" s="219"/>
      <c r="D57" s="232" t="s">
        <v>288</v>
      </c>
      <c r="E57" s="200"/>
      <c r="F57" s="343"/>
      <c r="G57" s="200"/>
      <c r="H57" s="259"/>
      <c r="I57" s="335"/>
      <c r="M57" s="334"/>
    </row>
    <row r="58" spans="1:13" ht="12.75" hidden="1" customHeight="1" x14ac:dyDescent="0.2">
      <c r="A58" s="198"/>
      <c r="B58" s="199"/>
      <c r="C58" s="219"/>
      <c r="D58" s="232" t="s">
        <v>257</v>
      </c>
      <c r="E58" s="200"/>
      <c r="F58" s="343"/>
      <c r="G58" s="200"/>
      <c r="I58" s="335"/>
      <c r="M58" s="295"/>
    </row>
    <row r="59" spans="1:13" ht="12.75" hidden="1" customHeight="1" x14ac:dyDescent="0.2">
      <c r="A59" s="198"/>
      <c r="B59" s="199"/>
      <c r="C59" s="219"/>
      <c r="D59" s="315" t="s">
        <v>359</v>
      </c>
      <c r="E59" s="200"/>
      <c r="F59" s="343"/>
      <c r="G59" s="200"/>
      <c r="I59" s="335"/>
      <c r="L59" s="295"/>
    </row>
    <row r="60" spans="1:13" s="260" customFormat="1" ht="12.75" customHeight="1" x14ac:dyDescent="0.2">
      <c r="A60" s="194">
        <f>1+A53</f>
        <v>6</v>
      </c>
      <c r="B60" s="195">
        <v>2531</v>
      </c>
      <c r="C60" s="218" t="s">
        <v>595</v>
      </c>
      <c r="D60" s="545" t="str">
        <f>$D$12</f>
        <v>FTE July 2025</v>
      </c>
      <c r="E60" s="197">
        <f>'2531'!I145</f>
        <v>128465.38</v>
      </c>
      <c r="F60" s="344"/>
      <c r="G60" s="197">
        <f>SUBTOTAL(109,E60:F71)</f>
        <v>128465.38</v>
      </c>
      <c r="H60" s="296"/>
      <c r="I60" s="335"/>
    </row>
    <row r="61" spans="1:13" ht="12.75" hidden="1" customHeight="1" x14ac:dyDescent="0.2">
      <c r="A61" s="194"/>
      <c r="B61" s="195"/>
      <c r="C61" s="218"/>
      <c r="D61" s="231" t="s">
        <v>597</v>
      </c>
      <c r="E61" s="197"/>
      <c r="F61" s="344"/>
      <c r="G61" s="197"/>
      <c r="I61" s="335"/>
    </row>
    <row r="62" spans="1:13" ht="12.75" hidden="1" customHeight="1" x14ac:dyDescent="0.2">
      <c r="A62" s="194"/>
      <c r="B62" s="195"/>
      <c r="C62" s="218"/>
      <c r="D62" s="231" t="s">
        <v>278</v>
      </c>
      <c r="E62" s="197"/>
      <c r="F62" s="344"/>
      <c r="G62" s="197"/>
      <c r="I62" s="335"/>
    </row>
    <row r="63" spans="1:13" s="260" customFormat="1" ht="12.75" hidden="1" customHeight="1" x14ac:dyDescent="0.2">
      <c r="A63" s="194"/>
      <c r="B63" s="195"/>
      <c r="C63" s="218"/>
      <c r="D63" s="231" t="s">
        <v>397</v>
      </c>
      <c r="E63" s="197"/>
      <c r="F63" s="344"/>
      <c r="G63" s="197"/>
      <c r="H63" s="259"/>
      <c r="I63" s="306"/>
    </row>
    <row r="64" spans="1:13" s="260" customFormat="1" ht="12.75" hidden="1" customHeight="1" x14ac:dyDescent="0.2">
      <c r="A64" s="194"/>
      <c r="B64" s="195"/>
      <c r="C64" s="218"/>
      <c r="D64" s="354" t="s">
        <v>395</v>
      </c>
      <c r="E64" s="197"/>
      <c r="F64" s="344"/>
      <c r="G64" s="197"/>
      <c r="H64" s="259"/>
      <c r="I64" s="195"/>
    </row>
    <row r="65" spans="1:9" s="260" customFormat="1" ht="12.75" hidden="1" customHeight="1" x14ac:dyDescent="0.2">
      <c r="A65" s="194"/>
      <c r="B65" s="195"/>
      <c r="C65" s="218"/>
      <c r="D65" s="231" t="s">
        <v>280</v>
      </c>
      <c r="E65" s="197"/>
      <c r="F65" s="344"/>
      <c r="G65" s="197"/>
      <c r="H65" s="259"/>
      <c r="I65" s="195"/>
    </row>
    <row r="66" spans="1:9" s="260" customFormat="1" ht="12.75" hidden="1" customHeight="1" x14ac:dyDescent="0.2">
      <c r="A66" s="194"/>
      <c r="B66" s="195"/>
      <c r="C66" s="218"/>
      <c r="D66" s="231" t="s">
        <v>279</v>
      </c>
      <c r="E66" s="197"/>
      <c r="F66" s="344"/>
      <c r="G66" s="197"/>
      <c r="H66" s="259"/>
      <c r="I66" s="195"/>
    </row>
    <row r="67" spans="1:9" s="260" customFormat="1" ht="12.75" hidden="1" customHeight="1" x14ac:dyDescent="0.2">
      <c r="A67" s="194"/>
      <c r="B67" s="195"/>
      <c r="C67" s="218"/>
      <c r="D67" s="231" t="s">
        <v>288</v>
      </c>
      <c r="E67" s="197"/>
      <c r="F67" s="344"/>
      <c r="G67" s="197"/>
      <c r="H67" s="296"/>
      <c r="I67" s="306"/>
    </row>
    <row r="68" spans="1:9" s="260" customFormat="1" ht="12.75" hidden="1" customHeight="1" x14ac:dyDescent="0.2">
      <c r="A68" s="194"/>
      <c r="B68" s="195"/>
      <c r="C68" s="218"/>
      <c r="D68" s="231" t="s">
        <v>257</v>
      </c>
      <c r="E68" s="197"/>
      <c r="F68" s="344"/>
      <c r="G68" s="197"/>
      <c r="H68" s="259"/>
      <c r="I68" s="306"/>
    </row>
    <row r="69" spans="1:9" s="260" customFormat="1" ht="12.75" hidden="1" customHeight="1" x14ac:dyDescent="0.2">
      <c r="A69" s="194"/>
      <c r="B69" s="195"/>
      <c r="C69" s="218"/>
      <c r="D69" s="231" t="s">
        <v>358</v>
      </c>
      <c r="E69" s="197"/>
      <c r="F69" s="344"/>
      <c r="G69" s="197"/>
      <c r="H69" s="259"/>
      <c r="I69" s="306"/>
    </row>
    <row r="70" spans="1:9" s="260" customFormat="1" ht="12.75" hidden="1" customHeight="1" x14ac:dyDescent="0.2">
      <c r="A70" s="194"/>
      <c r="B70" s="195"/>
      <c r="C70" s="230"/>
      <c r="D70" s="355" t="s">
        <v>388</v>
      </c>
      <c r="E70" s="197"/>
      <c r="F70" s="344"/>
      <c r="G70" s="197"/>
      <c r="H70" s="259"/>
      <c r="I70" s="335"/>
    </row>
    <row r="71" spans="1:9" s="260" customFormat="1" ht="12.75" hidden="1" customHeight="1" x14ac:dyDescent="0.2">
      <c r="A71" s="194"/>
      <c r="B71" s="195"/>
      <c r="C71" s="218"/>
      <c r="D71" s="276" t="s">
        <v>359</v>
      </c>
      <c r="E71" s="197"/>
      <c r="F71" s="344"/>
      <c r="G71" s="197"/>
      <c r="H71" s="259"/>
      <c r="I71" s="230"/>
    </row>
    <row r="72" spans="1:9" s="260" customFormat="1" ht="12.75" customHeight="1" x14ac:dyDescent="0.2">
      <c r="A72" s="198">
        <f>1+A60</f>
        <v>7</v>
      </c>
      <c r="B72" s="199" t="s">
        <v>162</v>
      </c>
      <c r="C72" s="262" t="s">
        <v>255</v>
      </c>
      <c r="D72" s="277" t="str">
        <f>$D$12</f>
        <v>FTE July 2025</v>
      </c>
      <c r="E72" s="200">
        <f>'2791'!I$145</f>
        <v>440248.86</v>
      </c>
      <c r="F72" s="343"/>
      <c r="G72" s="200">
        <f>SUBTOTAL(109,E72:F79)</f>
        <v>440248.86</v>
      </c>
      <c r="H72" s="296"/>
      <c r="I72" s="338"/>
    </row>
    <row r="73" spans="1:9" s="260" customFormat="1" ht="12.75" hidden="1" customHeight="1" x14ac:dyDescent="0.2">
      <c r="A73" s="198"/>
      <c r="B73" s="199"/>
      <c r="C73" s="219"/>
      <c r="D73" s="232" t="s">
        <v>278</v>
      </c>
      <c r="E73" s="200"/>
      <c r="F73" s="343"/>
      <c r="G73" s="200"/>
      <c r="H73" s="259"/>
      <c r="I73" s="230"/>
    </row>
    <row r="74" spans="1:9" s="260" customFormat="1" ht="12.75" hidden="1" customHeight="1" x14ac:dyDescent="0.2">
      <c r="A74" s="198"/>
      <c r="B74" s="199"/>
      <c r="C74" s="219"/>
      <c r="D74" s="421" t="s">
        <v>535</v>
      </c>
      <c r="E74" s="200"/>
      <c r="F74" s="343"/>
      <c r="G74" s="200"/>
      <c r="H74" s="259"/>
      <c r="I74" s="230"/>
    </row>
    <row r="75" spans="1:9" s="260" customFormat="1" ht="12.75" hidden="1" customHeight="1" x14ac:dyDescent="0.2">
      <c r="A75" s="198"/>
      <c r="B75" s="199"/>
      <c r="C75" s="219"/>
      <c r="D75" s="232" t="s">
        <v>280</v>
      </c>
      <c r="E75" s="200"/>
      <c r="F75" s="343"/>
      <c r="G75" s="200"/>
      <c r="H75" s="259"/>
      <c r="I75" s="230"/>
    </row>
    <row r="76" spans="1:9" s="260" customFormat="1" ht="12.75" hidden="1" customHeight="1" x14ac:dyDescent="0.2">
      <c r="A76" s="198"/>
      <c r="B76" s="199"/>
      <c r="C76" s="219"/>
      <c r="D76" s="232" t="s">
        <v>279</v>
      </c>
      <c r="E76" s="200"/>
      <c r="F76" s="343"/>
      <c r="G76" s="200"/>
      <c r="H76" s="259"/>
      <c r="I76" s="230"/>
    </row>
    <row r="77" spans="1:9" s="260" customFormat="1" ht="12.75" hidden="1" customHeight="1" x14ac:dyDescent="0.2">
      <c r="A77" s="198"/>
      <c r="B77" s="199"/>
      <c r="C77" s="219"/>
      <c r="D77" s="232"/>
      <c r="E77" s="200"/>
      <c r="F77" s="343"/>
      <c r="G77" s="200"/>
      <c r="H77" s="259"/>
      <c r="I77" s="335"/>
    </row>
    <row r="78" spans="1:9" s="260" customFormat="1" ht="12.75" hidden="1" customHeight="1" x14ac:dyDescent="0.2">
      <c r="A78" s="198"/>
      <c r="B78" s="199"/>
      <c r="C78" s="219"/>
      <c r="D78" s="232" t="s">
        <v>257</v>
      </c>
      <c r="E78" s="200"/>
      <c r="F78" s="343"/>
      <c r="G78" s="200"/>
      <c r="H78" s="259"/>
      <c r="I78" s="335"/>
    </row>
    <row r="79" spans="1:9" s="260" customFormat="1" ht="12.75" hidden="1" customHeight="1" x14ac:dyDescent="0.2">
      <c r="A79" s="198"/>
      <c r="B79" s="199"/>
      <c r="C79" s="219"/>
      <c r="D79" s="315" t="s">
        <v>359</v>
      </c>
      <c r="E79" s="200"/>
      <c r="F79" s="343"/>
      <c r="G79" s="200"/>
      <c r="H79" s="259"/>
      <c r="I79" s="335"/>
    </row>
    <row r="80" spans="1:9" s="260" customFormat="1" ht="12.75" customHeight="1" x14ac:dyDescent="0.2">
      <c r="A80" s="194">
        <f>A72+1</f>
        <v>8</v>
      </c>
      <c r="B80" s="195" t="s">
        <v>163</v>
      </c>
      <c r="C80" s="261" t="s">
        <v>415</v>
      </c>
      <c r="D80" s="545" t="str">
        <f>$D$12</f>
        <v>FTE July 2025</v>
      </c>
      <c r="E80" s="197">
        <f>'2801'!I$145</f>
        <v>433777.9</v>
      </c>
      <c r="F80" s="344"/>
      <c r="G80" s="197">
        <f>SUBTOTAL(109,E80:F89)</f>
        <v>433777.9</v>
      </c>
      <c r="H80" s="296"/>
      <c r="I80" s="338"/>
    </row>
    <row r="81" spans="1:9" s="260" customFormat="1" ht="12.75" hidden="1" customHeight="1" x14ac:dyDescent="0.2">
      <c r="A81" s="194"/>
      <c r="B81" s="195"/>
      <c r="C81" s="218"/>
      <c r="D81" s="231" t="s">
        <v>597</v>
      </c>
      <c r="E81" s="197"/>
      <c r="F81" s="344"/>
      <c r="G81" s="197"/>
      <c r="H81" s="259"/>
      <c r="I81" s="335"/>
    </row>
    <row r="82" spans="1:9" s="260" customFormat="1" ht="12.75" hidden="1" customHeight="1" x14ac:dyDescent="0.2">
      <c r="A82" s="194"/>
      <c r="B82" s="195"/>
      <c r="C82" s="218"/>
      <c r="D82" s="354" t="s">
        <v>535</v>
      </c>
      <c r="E82" s="197"/>
      <c r="F82" s="344"/>
      <c r="G82" s="197"/>
      <c r="H82" s="296"/>
      <c r="I82" s="306"/>
    </row>
    <row r="83" spans="1:9" s="260" customFormat="1" ht="12.75" hidden="1" customHeight="1" x14ac:dyDescent="0.2">
      <c r="A83" s="194"/>
      <c r="B83" s="195"/>
      <c r="C83" s="218"/>
      <c r="D83" s="231" t="s">
        <v>280</v>
      </c>
      <c r="E83" s="197"/>
      <c r="F83" s="344"/>
      <c r="G83" s="197"/>
      <c r="H83" s="296"/>
      <c r="I83" s="195"/>
    </row>
    <row r="84" spans="1:9" s="260" customFormat="1" ht="12.75" hidden="1" customHeight="1" x14ac:dyDescent="0.2">
      <c r="A84" s="194"/>
      <c r="B84" s="195"/>
      <c r="C84" s="218"/>
      <c r="D84" s="231" t="s">
        <v>378</v>
      </c>
      <c r="E84" s="197"/>
      <c r="F84" s="344"/>
      <c r="G84" s="197"/>
      <c r="H84" s="259"/>
      <c r="I84" s="230"/>
    </row>
    <row r="85" spans="1:9" s="260" customFormat="1" ht="12.75" hidden="1" customHeight="1" x14ac:dyDescent="0.2">
      <c r="A85" s="194"/>
      <c r="B85" s="195"/>
      <c r="C85" s="218"/>
      <c r="D85" s="231" t="s">
        <v>288</v>
      </c>
      <c r="E85" s="197"/>
      <c r="F85" s="344"/>
      <c r="G85" s="197"/>
      <c r="H85" s="296"/>
      <c r="I85" s="195"/>
    </row>
    <row r="86" spans="1:9" s="260" customFormat="1" ht="12.75" hidden="1" customHeight="1" x14ac:dyDescent="0.2">
      <c r="A86" s="194"/>
      <c r="B86" s="195"/>
      <c r="C86" s="218"/>
      <c r="D86" s="231" t="s">
        <v>257</v>
      </c>
      <c r="E86" s="197"/>
      <c r="F86" s="344"/>
      <c r="G86" s="197"/>
      <c r="H86" s="296"/>
      <c r="I86" s="195"/>
    </row>
    <row r="87" spans="1:9" s="260" customFormat="1" ht="12.75" hidden="1" customHeight="1" x14ac:dyDescent="0.2">
      <c r="A87" s="194"/>
      <c r="B87" s="195"/>
      <c r="C87" s="218"/>
      <c r="D87" s="231" t="s">
        <v>302</v>
      </c>
      <c r="E87" s="197"/>
      <c r="F87" s="344"/>
      <c r="G87" s="197"/>
      <c r="H87" s="296"/>
      <c r="I87" s="306"/>
    </row>
    <row r="88" spans="1:9" s="260" customFormat="1" ht="12.75" hidden="1" customHeight="1" x14ac:dyDescent="0.2">
      <c r="A88" s="194"/>
      <c r="B88" s="195"/>
      <c r="C88" s="218"/>
      <c r="D88" s="231" t="s">
        <v>358</v>
      </c>
      <c r="E88" s="197"/>
      <c r="F88" s="344"/>
      <c r="G88" s="197"/>
      <c r="H88" s="259"/>
      <c r="I88" s="306"/>
    </row>
    <row r="89" spans="1:9" s="260" customFormat="1" ht="12.75" hidden="1" customHeight="1" x14ac:dyDescent="0.2">
      <c r="A89" s="194"/>
      <c r="B89" s="195"/>
      <c r="C89" s="218"/>
      <c r="D89" s="276" t="s">
        <v>413</v>
      </c>
      <c r="E89" s="197"/>
      <c r="F89" s="344"/>
      <c r="G89" s="197"/>
      <c r="H89" s="259"/>
      <c r="I89" s="306"/>
    </row>
    <row r="90" spans="1:9" s="260" customFormat="1" ht="12.75" customHeight="1" x14ac:dyDescent="0.2">
      <c r="A90" s="198">
        <f>A80+1</f>
        <v>9</v>
      </c>
      <c r="B90" s="199" t="s">
        <v>164</v>
      </c>
      <c r="C90" s="219" t="s">
        <v>196</v>
      </c>
      <c r="D90" s="277" t="str">
        <f>$D$12</f>
        <v>FTE July 2025</v>
      </c>
      <c r="E90" s="200">
        <f>'2911'!I$145</f>
        <v>505265.93</v>
      </c>
      <c r="F90" s="343"/>
      <c r="G90" s="200">
        <f>SUBTOTAL(109,E90:F100)</f>
        <v>505265.93</v>
      </c>
      <c r="H90" s="296"/>
      <c r="I90" s="195"/>
    </row>
    <row r="91" spans="1:9" s="260" customFormat="1" ht="12.75" hidden="1" customHeight="1" x14ac:dyDescent="0.2">
      <c r="A91" s="198"/>
      <c r="B91" s="199"/>
      <c r="C91" s="219"/>
      <c r="D91" s="232" t="s">
        <v>278</v>
      </c>
      <c r="E91" s="200"/>
      <c r="F91" s="343"/>
      <c r="G91" s="200"/>
      <c r="H91" s="296"/>
      <c r="I91" s="195"/>
    </row>
    <row r="92" spans="1:9" s="260" customFormat="1" ht="12.75" hidden="1" customHeight="1" x14ac:dyDescent="0.2">
      <c r="A92" s="198"/>
      <c r="B92" s="199"/>
      <c r="C92" s="219"/>
      <c r="D92" s="421" t="s">
        <v>395</v>
      </c>
      <c r="E92" s="200"/>
      <c r="F92" s="343"/>
      <c r="G92" s="200"/>
      <c r="H92" s="259"/>
      <c r="I92" s="230"/>
    </row>
    <row r="93" spans="1:9" s="260" customFormat="1" ht="12.75" hidden="1" customHeight="1" x14ac:dyDescent="0.2">
      <c r="A93" s="198"/>
      <c r="B93" s="199"/>
      <c r="C93" s="219"/>
      <c r="D93" s="232" t="s">
        <v>280</v>
      </c>
      <c r="E93" s="200"/>
      <c r="F93" s="343"/>
      <c r="G93" s="200"/>
      <c r="H93" s="296"/>
      <c r="I93" s="195"/>
    </row>
    <row r="94" spans="1:9" s="260" customFormat="1" ht="12.75" hidden="1" customHeight="1" x14ac:dyDescent="0.2">
      <c r="A94" s="198"/>
      <c r="B94" s="199"/>
      <c r="C94" s="219"/>
      <c r="D94" s="232" t="s">
        <v>279</v>
      </c>
      <c r="E94" s="200"/>
      <c r="F94" s="343"/>
      <c r="G94" s="200"/>
      <c r="H94" s="296"/>
      <c r="I94" s="195"/>
    </row>
    <row r="95" spans="1:9" s="260" customFormat="1" ht="12.75" hidden="1" customHeight="1" x14ac:dyDescent="0.2">
      <c r="A95" s="198"/>
      <c r="B95" s="199"/>
      <c r="C95" s="219"/>
      <c r="D95" s="232" t="s">
        <v>288</v>
      </c>
      <c r="E95" s="200"/>
      <c r="F95" s="343"/>
      <c r="G95" s="200"/>
      <c r="H95" s="296"/>
      <c r="I95" s="195"/>
    </row>
    <row r="96" spans="1:9" s="260" customFormat="1" ht="12.75" hidden="1" customHeight="1" x14ac:dyDescent="0.2">
      <c r="A96" s="198"/>
      <c r="B96" s="199"/>
      <c r="C96" s="219"/>
      <c r="D96" s="232" t="s">
        <v>257</v>
      </c>
      <c r="E96" s="200"/>
      <c r="F96" s="343"/>
      <c r="G96" s="200"/>
      <c r="H96" s="259"/>
      <c r="I96" s="333"/>
    </row>
    <row r="97" spans="1:12" s="260" customFormat="1" ht="12.75" hidden="1" customHeight="1" x14ac:dyDescent="0.2">
      <c r="A97" s="198"/>
      <c r="B97" s="199"/>
      <c r="C97" s="219"/>
      <c r="D97" s="232" t="s">
        <v>302</v>
      </c>
      <c r="E97" s="200"/>
      <c r="F97" s="343"/>
      <c r="G97" s="200"/>
      <c r="H97" s="296"/>
    </row>
    <row r="98" spans="1:12" s="260" customFormat="1" ht="12.75" hidden="1" customHeight="1" x14ac:dyDescent="0.2">
      <c r="A98" s="198"/>
      <c r="B98" s="199"/>
      <c r="C98" s="228"/>
      <c r="D98" s="315" t="s">
        <v>602</v>
      </c>
      <c r="E98" s="200"/>
      <c r="F98" s="343"/>
      <c r="G98" s="200"/>
      <c r="H98" s="296"/>
      <c r="I98" s="195"/>
    </row>
    <row r="99" spans="1:12" s="260" customFormat="1" ht="12.75" hidden="1" customHeight="1" x14ac:dyDescent="0.2">
      <c r="A99" s="198"/>
      <c r="B99" s="199"/>
      <c r="C99" s="228"/>
      <c r="D99" s="315" t="s">
        <v>428</v>
      </c>
      <c r="E99" s="200"/>
      <c r="F99" s="343"/>
      <c r="G99" s="200"/>
      <c r="H99" s="296"/>
      <c r="I99" s="306"/>
    </row>
    <row r="100" spans="1:12" s="260" customFormat="1" ht="12.75" hidden="1" customHeight="1" x14ac:dyDescent="0.2">
      <c r="A100" s="198"/>
      <c r="B100" s="199"/>
      <c r="C100" s="228"/>
      <c r="D100" s="278"/>
      <c r="E100" s="200"/>
      <c r="F100" s="343"/>
      <c r="G100" s="200"/>
      <c r="H100" s="296"/>
      <c r="I100" s="306"/>
    </row>
    <row r="101" spans="1:12" s="260" customFormat="1" ht="12.75" customHeight="1" x14ac:dyDescent="0.2">
      <c r="A101" s="194">
        <f>A90+1</f>
        <v>10</v>
      </c>
      <c r="B101" s="195" t="s">
        <v>165</v>
      </c>
      <c r="C101" s="218" t="s">
        <v>197</v>
      </c>
      <c r="D101" s="545" t="str">
        <f>$D$12</f>
        <v>FTE July 2025</v>
      </c>
      <c r="E101" s="197">
        <f>'2941'!I$145</f>
        <v>858865.25</v>
      </c>
      <c r="F101" s="344"/>
      <c r="G101" s="197">
        <f>SUBTOTAL(109,E101:F109)</f>
        <v>845076.32</v>
      </c>
      <c r="H101" s="296"/>
      <c r="I101" s="195"/>
    </row>
    <row r="102" spans="1:12" s="260" customFormat="1" ht="12.75" hidden="1" customHeight="1" x14ac:dyDescent="0.2">
      <c r="A102" s="194"/>
      <c r="B102" s="195"/>
      <c r="C102" s="218"/>
      <c r="D102" s="231" t="s">
        <v>597</v>
      </c>
      <c r="E102" s="197"/>
      <c r="F102" s="344"/>
      <c r="G102" s="197"/>
      <c r="H102" s="296"/>
      <c r="I102" s="195"/>
    </row>
    <row r="103" spans="1:12" s="260" customFormat="1" ht="12.75" hidden="1" customHeight="1" x14ac:dyDescent="0.2">
      <c r="A103" s="194"/>
      <c r="B103" s="195"/>
      <c r="C103" s="218"/>
      <c r="D103" s="354" t="s">
        <v>535</v>
      </c>
      <c r="E103" s="197"/>
      <c r="F103" s="344"/>
      <c r="G103" s="197"/>
      <c r="H103" s="259"/>
      <c r="I103" s="230"/>
    </row>
    <row r="104" spans="1:12" s="260" customFormat="1" ht="12.75" hidden="1" customHeight="1" x14ac:dyDescent="0.2">
      <c r="A104" s="194"/>
      <c r="B104" s="195"/>
      <c r="C104" s="218"/>
      <c r="D104" s="231" t="s">
        <v>280</v>
      </c>
      <c r="E104" s="197"/>
      <c r="F104" s="344"/>
      <c r="G104" s="197"/>
      <c r="H104" s="296"/>
      <c r="I104" s="195"/>
    </row>
    <row r="105" spans="1:12" s="260" customFormat="1" ht="12.75" hidden="1" customHeight="1" x14ac:dyDescent="0.2">
      <c r="A105" s="194"/>
      <c r="B105" s="195"/>
      <c r="C105" s="218"/>
      <c r="D105" s="231" t="s">
        <v>279</v>
      </c>
      <c r="E105" s="197"/>
      <c r="F105" s="344"/>
      <c r="G105" s="197"/>
      <c r="H105" s="296"/>
      <c r="I105" s="195"/>
    </row>
    <row r="106" spans="1:12" s="260" customFormat="1" ht="12.75" hidden="1" customHeight="1" x14ac:dyDescent="0.2">
      <c r="A106" s="194"/>
      <c r="B106" s="195"/>
      <c r="C106" s="218"/>
      <c r="D106" s="231" t="s">
        <v>288</v>
      </c>
      <c r="E106" s="197"/>
      <c r="F106" s="344"/>
      <c r="G106" s="197"/>
      <c r="H106" s="296"/>
      <c r="I106" s="195"/>
    </row>
    <row r="107" spans="1:12" s="260" customFormat="1" ht="12.75" customHeight="1" x14ac:dyDescent="0.2">
      <c r="A107" s="194"/>
      <c r="B107" s="195"/>
      <c r="C107" s="218"/>
      <c r="D107" s="354" t="s">
        <v>624</v>
      </c>
      <c r="E107" s="197"/>
      <c r="F107" s="344">
        <v>-13788.93</v>
      </c>
      <c r="G107" s="197"/>
      <c r="H107" s="259"/>
      <c r="I107" s="333"/>
    </row>
    <row r="108" spans="1:12" s="260" customFormat="1" ht="12.75" hidden="1" customHeight="1" x14ac:dyDescent="0.2">
      <c r="A108" s="194"/>
      <c r="B108" s="195"/>
      <c r="C108" s="218"/>
      <c r="D108" s="231" t="s">
        <v>358</v>
      </c>
      <c r="E108" s="197"/>
      <c r="F108" s="344"/>
      <c r="G108" s="197"/>
      <c r="H108" s="296"/>
      <c r="I108" s="306"/>
    </row>
    <row r="109" spans="1:12" s="260" customFormat="1" ht="12.75" hidden="1" customHeight="1" x14ac:dyDescent="0.2">
      <c r="A109" s="194"/>
      <c r="B109" s="195"/>
      <c r="C109" s="218"/>
      <c r="D109" s="276"/>
      <c r="E109" s="197"/>
      <c r="F109" s="344"/>
      <c r="G109" s="197"/>
      <c r="H109" s="259"/>
      <c r="I109" s="306"/>
      <c r="J109" s="355"/>
      <c r="K109" s="197"/>
      <c r="L109" s="240"/>
    </row>
    <row r="110" spans="1:12" s="260" customFormat="1" ht="12.75" customHeight="1" x14ac:dyDescent="0.2">
      <c r="A110" s="198">
        <f>A101+1</f>
        <v>11</v>
      </c>
      <c r="B110" s="199" t="s">
        <v>166</v>
      </c>
      <c r="C110" s="262" t="s">
        <v>349</v>
      </c>
      <c r="D110" s="277" t="str">
        <f>$D$12</f>
        <v>FTE July 2025</v>
      </c>
      <c r="E110" s="200">
        <f>'3083'!I$145</f>
        <v>484859.99</v>
      </c>
      <c r="F110" s="343"/>
      <c r="G110" s="200">
        <f>SUBTOTAL(109,E110:F117)</f>
        <v>476333.08</v>
      </c>
      <c r="H110" s="259"/>
      <c r="I110" s="306"/>
      <c r="J110" s="355"/>
      <c r="K110" s="197"/>
      <c r="L110" s="240"/>
    </row>
    <row r="111" spans="1:12" s="260" customFormat="1" ht="12.75" customHeight="1" x14ac:dyDescent="0.2">
      <c r="A111" s="198"/>
      <c r="B111" s="199"/>
      <c r="C111" s="219"/>
      <c r="D111" s="232" t="s">
        <v>624</v>
      </c>
      <c r="E111" s="200"/>
      <c r="F111" s="343">
        <v>-8526.91</v>
      </c>
      <c r="G111" s="200"/>
      <c r="H111" s="296"/>
      <c r="I111" s="195"/>
    </row>
    <row r="112" spans="1:12" s="260" customFormat="1" ht="12.75" hidden="1" customHeight="1" x14ac:dyDescent="0.2">
      <c r="A112" s="198"/>
      <c r="B112" s="199"/>
      <c r="C112" s="219"/>
      <c r="D112" s="421" t="s">
        <v>535</v>
      </c>
      <c r="E112" s="200"/>
      <c r="F112" s="343"/>
      <c r="G112" s="200"/>
      <c r="H112" s="296"/>
      <c r="I112" s="195"/>
    </row>
    <row r="113" spans="1:9" s="260" customFormat="1" ht="12.75" hidden="1" customHeight="1" x14ac:dyDescent="0.2">
      <c r="A113" s="198"/>
      <c r="B113" s="199"/>
      <c r="C113" s="219"/>
      <c r="D113" s="232" t="s">
        <v>280</v>
      </c>
      <c r="E113" s="200"/>
      <c r="F113" s="343"/>
      <c r="G113" s="200"/>
      <c r="H113" s="259"/>
      <c r="I113" s="230"/>
    </row>
    <row r="114" spans="1:9" s="260" customFormat="1" ht="12.75" hidden="1" customHeight="1" x14ac:dyDescent="0.2">
      <c r="A114" s="198"/>
      <c r="B114" s="199"/>
      <c r="C114" s="219"/>
      <c r="D114" s="232" t="s">
        <v>279</v>
      </c>
      <c r="E114" s="200"/>
      <c r="F114" s="343"/>
      <c r="G114" s="200"/>
      <c r="H114" s="296"/>
      <c r="I114" s="195"/>
    </row>
    <row r="115" spans="1:9" s="260" customFormat="1" ht="12.75" hidden="1" customHeight="1" x14ac:dyDescent="0.2">
      <c r="A115" s="198"/>
      <c r="B115" s="199"/>
      <c r="C115" s="219"/>
      <c r="D115" s="278" t="s">
        <v>288</v>
      </c>
      <c r="E115" s="200"/>
      <c r="F115" s="343"/>
      <c r="G115" s="200"/>
      <c r="H115" s="296"/>
      <c r="I115" s="195"/>
    </row>
    <row r="116" spans="1:9" s="260" customFormat="1" ht="12.75" hidden="1" customHeight="1" x14ac:dyDescent="0.2">
      <c r="A116" s="198"/>
      <c r="B116" s="199"/>
      <c r="C116" s="219"/>
      <c r="D116" s="232" t="s">
        <v>257</v>
      </c>
      <c r="E116" s="200"/>
      <c r="F116" s="343"/>
      <c r="G116" s="200"/>
      <c r="H116" s="296"/>
      <c r="I116" s="195"/>
    </row>
    <row r="117" spans="1:9" s="260" customFormat="1" ht="12.75" hidden="1" customHeight="1" x14ac:dyDescent="0.2">
      <c r="A117" s="198"/>
      <c r="B117" s="199"/>
      <c r="C117" s="219"/>
      <c r="D117" s="278" t="s">
        <v>359</v>
      </c>
      <c r="E117" s="200"/>
      <c r="F117" s="343"/>
      <c r="G117" s="200"/>
      <c r="H117" s="259"/>
      <c r="I117" s="333"/>
    </row>
    <row r="118" spans="1:9" s="260" customFormat="1" ht="12.75" customHeight="1" x14ac:dyDescent="0.2">
      <c r="A118" s="194">
        <f>A110+1</f>
        <v>12</v>
      </c>
      <c r="B118" s="195" t="s">
        <v>167</v>
      </c>
      <c r="C118" s="261" t="s">
        <v>426</v>
      </c>
      <c r="D118" s="545" t="str">
        <f>$D$12</f>
        <v>FTE July 2025</v>
      </c>
      <c r="E118" s="197">
        <f>'3345'!I$145</f>
        <v>90419.86</v>
      </c>
      <c r="F118" s="344"/>
      <c r="G118" s="197">
        <f>SUBTOTAL(109,E118:F124)</f>
        <v>90419.86</v>
      </c>
      <c r="H118" s="259"/>
      <c r="I118" s="333"/>
    </row>
    <row r="119" spans="1:9" s="260" customFormat="1" ht="12.75" hidden="1" customHeight="1" x14ac:dyDescent="0.2">
      <c r="A119" s="194"/>
      <c r="B119" s="195"/>
      <c r="C119" s="261"/>
      <c r="D119" s="231" t="s">
        <v>597</v>
      </c>
      <c r="E119" s="197"/>
      <c r="F119" s="344"/>
      <c r="G119" s="197"/>
      <c r="H119" s="259"/>
      <c r="I119" s="333"/>
    </row>
    <row r="120" spans="1:9" s="260" customFormat="1" ht="12.75" hidden="1" customHeight="1" x14ac:dyDescent="0.2">
      <c r="A120" s="194"/>
      <c r="B120" s="195"/>
      <c r="C120" s="261"/>
      <c r="D120" s="231" t="s">
        <v>535</v>
      </c>
      <c r="E120" s="197"/>
      <c r="F120" s="344"/>
      <c r="G120" s="197"/>
      <c r="H120" s="296"/>
      <c r="I120" s="195"/>
    </row>
    <row r="121" spans="1:9" s="260" customFormat="1" ht="12.75" hidden="1" customHeight="1" x14ac:dyDescent="0.2">
      <c r="A121" s="194"/>
      <c r="B121" s="195"/>
      <c r="C121" s="218"/>
      <c r="D121" s="231" t="s">
        <v>279</v>
      </c>
      <c r="E121" s="197"/>
      <c r="F121" s="344"/>
      <c r="G121" s="197"/>
      <c r="H121" s="296"/>
      <c r="I121" s="195"/>
    </row>
    <row r="122" spans="1:9" s="260" customFormat="1" ht="12.75" hidden="1" customHeight="1" x14ac:dyDescent="0.2">
      <c r="A122" s="194"/>
      <c r="B122" s="195"/>
      <c r="C122" s="218"/>
      <c r="D122" s="231" t="s">
        <v>288</v>
      </c>
      <c r="E122" s="197"/>
      <c r="F122" s="344"/>
      <c r="G122" s="197"/>
      <c r="H122" s="259"/>
      <c r="I122" s="230"/>
    </row>
    <row r="123" spans="1:9" s="260" customFormat="1" ht="12.75" hidden="1" customHeight="1" x14ac:dyDescent="0.2">
      <c r="A123" s="194"/>
      <c r="B123" s="195"/>
      <c r="C123" s="218"/>
      <c r="D123" s="231" t="s">
        <v>257</v>
      </c>
      <c r="E123" s="197"/>
      <c r="F123" s="344"/>
      <c r="G123" s="197"/>
      <c r="H123" s="296"/>
      <c r="I123" s="195"/>
    </row>
    <row r="124" spans="1:9" s="260" customFormat="1" ht="12.75" hidden="1" customHeight="1" x14ac:dyDescent="0.2">
      <c r="A124" s="194"/>
      <c r="B124" s="195"/>
      <c r="C124" s="218"/>
      <c r="D124" s="276" t="s">
        <v>359</v>
      </c>
      <c r="E124" s="197"/>
      <c r="F124" s="344"/>
      <c r="G124" s="197"/>
      <c r="H124" s="296"/>
      <c r="I124" s="195"/>
    </row>
    <row r="125" spans="1:9" s="260" customFormat="1" ht="12.75" customHeight="1" x14ac:dyDescent="0.2">
      <c r="A125" s="198">
        <f>A118+1</f>
        <v>13</v>
      </c>
      <c r="B125" s="199" t="s">
        <v>168</v>
      </c>
      <c r="C125" s="219" t="s">
        <v>200</v>
      </c>
      <c r="D125" s="277" t="str">
        <f>$D$12</f>
        <v>FTE July 2025</v>
      </c>
      <c r="E125" s="200">
        <f>'3381'!I$145</f>
        <v>750894</v>
      </c>
      <c r="F125" s="343"/>
      <c r="G125" s="200">
        <f>SUBTOTAL(109,E125:F133)</f>
        <v>750894</v>
      </c>
      <c r="H125" s="296"/>
      <c r="I125" s="195"/>
    </row>
    <row r="126" spans="1:9" s="260" customFormat="1" ht="12.75" hidden="1" customHeight="1" x14ac:dyDescent="0.2">
      <c r="A126" s="198"/>
      <c r="B126" s="199"/>
      <c r="C126" s="219"/>
      <c r="D126" s="232" t="s">
        <v>278</v>
      </c>
      <c r="E126" s="200"/>
      <c r="F126" s="343"/>
      <c r="G126" s="200"/>
      <c r="H126" s="259"/>
      <c r="I126" s="333"/>
    </row>
    <row r="127" spans="1:9" ht="12.75" hidden="1" customHeight="1" x14ac:dyDescent="0.2">
      <c r="A127" s="198"/>
      <c r="B127" s="199"/>
      <c r="C127" s="219"/>
      <c r="D127" s="421" t="s">
        <v>535</v>
      </c>
      <c r="E127" s="200"/>
      <c r="F127" s="343"/>
      <c r="G127" s="200"/>
      <c r="H127" s="297"/>
      <c r="I127" s="195"/>
    </row>
    <row r="128" spans="1:9" s="260" customFormat="1" ht="12.75" hidden="1" customHeight="1" x14ac:dyDescent="0.2">
      <c r="A128" s="198"/>
      <c r="B128" s="199"/>
      <c r="C128" s="219"/>
      <c r="D128" s="232" t="s">
        <v>280</v>
      </c>
      <c r="E128" s="200"/>
      <c r="F128" s="343"/>
      <c r="G128" s="200"/>
      <c r="H128" s="296"/>
      <c r="I128" s="195"/>
    </row>
    <row r="129" spans="1:16" s="260" customFormat="1" ht="12.75" hidden="1" customHeight="1" x14ac:dyDescent="0.2">
      <c r="A129" s="198"/>
      <c r="B129" s="199"/>
      <c r="C129" s="219"/>
      <c r="D129" s="232" t="s">
        <v>279</v>
      </c>
      <c r="E129" s="200"/>
      <c r="F129" s="343"/>
      <c r="G129" s="200"/>
      <c r="H129" s="296"/>
      <c r="I129" s="195"/>
    </row>
    <row r="130" spans="1:16" s="260" customFormat="1" ht="12.75" hidden="1" customHeight="1" x14ac:dyDescent="0.2">
      <c r="A130" s="198"/>
      <c r="B130" s="199"/>
      <c r="C130" s="219"/>
      <c r="D130" s="232" t="s">
        <v>288</v>
      </c>
      <c r="E130" s="200"/>
      <c r="F130" s="343"/>
      <c r="G130" s="200"/>
      <c r="H130" s="296"/>
      <c r="I130" s="195"/>
    </row>
    <row r="131" spans="1:16" s="260" customFormat="1" ht="12.75" hidden="1" customHeight="1" x14ac:dyDescent="0.2">
      <c r="A131" s="198"/>
      <c r="B131" s="199"/>
      <c r="C131" s="219"/>
      <c r="D131" s="232" t="s">
        <v>257</v>
      </c>
      <c r="E131" s="200"/>
      <c r="F131" s="343"/>
      <c r="G131" s="200"/>
      <c r="H131" s="296"/>
      <c r="I131" s="195"/>
    </row>
    <row r="132" spans="1:16" s="260" customFormat="1" ht="12.75" hidden="1" customHeight="1" x14ac:dyDescent="0.2">
      <c r="A132" s="198"/>
      <c r="B132" s="199"/>
      <c r="C132" s="219"/>
      <c r="D132" s="232" t="s">
        <v>387</v>
      </c>
      <c r="E132" s="200"/>
      <c r="F132" s="343"/>
      <c r="G132" s="200"/>
      <c r="H132" s="296"/>
      <c r="I132" s="195"/>
    </row>
    <row r="133" spans="1:16" s="260" customFormat="1" ht="12.75" hidden="1" customHeight="1" x14ac:dyDescent="0.2">
      <c r="A133" s="198"/>
      <c r="B133" s="199"/>
      <c r="C133" s="219"/>
      <c r="D133" s="278" t="s">
        <v>359</v>
      </c>
      <c r="E133" s="200"/>
      <c r="F133" s="343"/>
      <c r="G133" s="200"/>
      <c r="H133" s="259"/>
      <c r="I133" s="333"/>
    </row>
    <row r="134" spans="1:16" s="260" customFormat="1" ht="12.75" customHeight="1" x14ac:dyDescent="0.2">
      <c r="A134" s="194">
        <f>A125+1</f>
        <v>14</v>
      </c>
      <c r="B134" s="195" t="s">
        <v>169</v>
      </c>
      <c r="C134" s="218" t="s">
        <v>202</v>
      </c>
      <c r="D134" s="545" t="str">
        <f>$D$12</f>
        <v>FTE July 2025</v>
      </c>
      <c r="E134" s="197">
        <f>'3382'!I$145</f>
        <v>199480.37</v>
      </c>
      <c r="F134" s="344"/>
      <c r="G134" s="197">
        <f>SUBTOTAL(109,E134:F142)</f>
        <v>199480.37</v>
      </c>
      <c r="H134" s="259"/>
      <c r="I134" s="333"/>
    </row>
    <row r="135" spans="1:16" s="260" customFormat="1" ht="12.75" hidden="1" customHeight="1" x14ac:dyDescent="0.2">
      <c r="A135" s="194"/>
      <c r="B135" s="195"/>
      <c r="C135" s="218"/>
      <c r="D135" s="231" t="s">
        <v>597</v>
      </c>
      <c r="E135" s="197"/>
      <c r="F135" s="344"/>
      <c r="G135" s="197"/>
      <c r="H135" s="296"/>
      <c r="I135" s="195"/>
    </row>
    <row r="136" spans="1:16" s="260" customFormat="1" ht="12.75" hidden="1" customHeight="1" x14ac:dyDescent="0.2">
      <c r="A136" s="194"/>
      <c r="B136" s="195"/>
      <c r="C136" s="218"/>
      <c r="D136" s="354" t="s">
        <v>535</v>
      </c>
      <c r="E136" s="197"/>
      <c r="F136" s="344"/>
      <c r="G136" s="197"/>
      <c r="H136" s="296"/>
      <c r="I136" s="195"/>
    </row>
    <row r="137" spans="1:16" s="260" customFormat="1" ht="12.75" hidden="1" customHeight="1" x14ac:dyDescent="0.2">
      <c r="A137" s="194"/>
      <c r="B137" s="195"/>
      <c r="C137" s="218"/>
      <c r="D137" s="231" t="s">
        <v>280</v>
      </c>
      <c r="E137" s="197"/>
      <c r="F137" s="344"/>
      <c r="G137" s="197"/>
      <c r="H137" s="259"/>
      <c r="I137" s="230"/>
    </row>
    <row r="138" spans="1:16" s="260" customFormat="1" ht="12.75" hidden="1" customHeight="1" x14ac:dyDescent="0.2">
      <c r="A138" s="194"/>
      <c r="B138" s="195"/>
      <c r="C138" s="218"/>
      <c r="D138" s="231" t="s">
        <v>279</v>
      </c>
      <c r="E138" s="197"/>
      <c r="F138" s="344"/>
      <c r="G138" s="197"/>
      <c r="H138" s="296"/>
      <c r="I138" s="195"/>
    </row>
    <row r="139" spans="1:16" s="260" customFormat="1" ht="12.75" hidden="1" customHeight="1" x14ac:dyDescent="0.2">
      <c r="A139" s="194"/>
      <c r="B139" s="195"/>
      <c r="C139" s="218"/>
      <c r="D139" s="231" t="s">
        <v>288</v>
      </c>
      <c r="E139" s="197"/>
      <c r="F139" s="344"/>
      <c r="G139" s="197"/>
      <c r="H139" s="296"/>
      <c r="I139" s="195"/>
    </row>
    <row r="140" spans="1:16" s="260" customFormat="1" ht="12.75" hidden="1" customHeight="1" x14ac:dyDescent="0.2">
      <c r="A140" s="194"/>
      <c r="B140" s="195"/>
      <c r="C140" s="218"/>
      <c r="D140" s="231" t="s">
        <v>257</v>
      </c>
      <c r="E140" s="197"/>
      <c r="F140" s="344"/>
      <c r="G140" s="197"/>
      <c r="H140" s="296"/>
      <c r="I140" s="195"/>
    </row>
    <row r="141" spans="1:16" s="260" customFormat="1" ht="12.75" hidden="1" customHeight="1" x14ac:dyDescent="0.2">
      <c r="A141" s="194"/>
      <c r="B141" s="195"/>
      <c r="C141" s="218"/>
      <c r="D141" s="231" t="s">
        <v>358</v>
      </c>
      <c r="E141" s="197"/>
      <c r="F141" s="344"/>
      <c r="G141" s="197"/>
      <c r="H141" s="259"/>
      <c r="I141" s="333"/>
    </row>
    <row r="142" spans="1:16" s="260" customFormat="1" ht="12.75" hidden="1" customHeight="1" x14ac:dyDescent="0.2">
      <c r="A142" s="194"/>
      <c r="B142" s="195"/>
      <c r="C142" s="230"/>
      <c r="D142" s="276" t="s">
        <v>359</v>
      </c>
      <c r="E142" s="197"/>
      <c r="F142" s="344"/>
      <c r="G142" s="197"/>
      <c r="H142" s="259"/>
      <c r="I142" s="335"/>
    </row>
    <row r="143" spans="1:16" ht="12.75" customHeight="1" x14ac:dyDescent="0.2">
      <c r="A143" s="198">
        <f>A134+1</f>
        <v>15</v>
      </c>
      <c r="B143" s="199" t="s">
        <v>170</v>
      </c>
      <c r="C143" s="219" t="s">
        <v>204</v>
      </c>
      <c r="D143" s="277" t="str">
        <f>$D$12</f>
        <v>FTE July 2025</v>
      </c>
      <c r="E143" s="200">
        <v>0</v>
      </c>
      <c r="F143" s="343"/>
      <c r="G143" s="200">
        <f>SUBTOTAL(109,E143:F151)</f>
        <v>0</v>
      </c>
      <c r="H143" s="297"/>
      <c r="I143" s="195"/>
    </row>
    <row r="144" spans="1:16" s="260" customFormat="1" ht="12.75" hidden="1" customHeight="1" x14ac:dyDescent="0.2">
      <c r="A144" s="198"/>
      <c r="B144" s="199"/>
      <c r="C144" s="219"/>
      <c r="D144" s="232" t="s">
        <v>278</v>
      </c>
      <c r="E144" s="200"/>
      <c r="F144" s="343">
        <v>0</v>
      </c>
      <c r="G144" s="200"/>
      <c r="H144" s="296"/>
      <c r="I144" s="195"/>
      <c r="P144" s="334"/>
    </row>
    <row r="145" spans="1:9" s="260" customFormat="1" ht="12.75" hidden="1" customHeight="1" x14ac:dyDescent="0.2">
      <c r="A145" s="198"/>
      <c r="B145" s="199"/>
      <c r="C145" s="219"/>
      <c r="D145" s="232" t="s">
        <v>535</v>
      </c>
      <c r="E145" s="200"/>
      <c r="F145" s="343"/>
      <c r="G145" s="200"/>
      <c r="H145" s="296"/>
      <c r="I145" s="195"/>
    </row>
    <row r="146" spans="1:9" s="260" customFormat="1" ht="12.75" hidden="1" customHeight="1" x14ac:dyDescent="0.2">
      <c r="A146" s="198"/>
      <c r="B146" s="199"/>
      <c r="C146" s="219"/>
      <c r="D146" s="421" t="s">
        <v>395</v>
      </c>
      <c r="E146" s="200"/>
      <c r="F146" s="343"/>
      <c r="G146" s="200"/>
      <c r="H146" s="259"/>
      <c r="I146" s="230"/>
    </row>
    <row r="147" spans="1:9" s="260" customFormat="1" ht="12.75" hidden="1" customHeight="1" x14ac:dyDescent="0.2">
      <c r="A147" s="198"/>
      <c r="B147" s="199"/>
      <c r="C147" s="219"/>
      <c r="D147" s="232" t="s">
        <v>280</v>
      </c>
      <c r="E147" s="200"/>
      <c r="F147" s="343"/>
      <c r="G147" s="200"/>
      <c r="H147" s="296"/>
      <c r="I147" s="195"/>
    </row>
    <row r="148" spans="1:9" s="260" customFormat="1" ht="12.75" hidden="1" customHeight="1" x14ac:dyDescent="0.2">
      <c r="A148" s="198"/>
      <c r="B148" s="199"/>
      <c r="C148" s="219"/>
      <c r="D148" s="232" t="s">
        <v>279</v>
      </c>
      <c r="E148" s="200"/>
      <c r="F148" s="343"/>
      <c r="G148" s="200"/>
      <c r="H148" s="296"/>
      <c r="I148" s="195"/>
    </row>
    <row r="149" spans="1:9" s="260" customFormat="1" ht="12.75" hidden="1" customHeight="1" x14ac:dyDescent="0.2">
      <c r="A149" s="198"/>
      <c r="B149" s="199"/>
      <c r="C149" s="219"/>
      <c r="D149" s="232" t="s">
        <v>288</v>
      </c>
      <c r="E149" s="200"/>
      <c r="F149" s="343"/>
      <c r="G149" s="200"/>
      <c r="H149" s="296"/>
      <c r="I149" s="195"/>
    </row>
    <row r="150" spans="1:9" s="260" customFormat="1" ht="12.75" hidden="1" customHeight="1" x14ac:dyDescent="0.2">
      <c r="A150" s="198"/>
      <c r="B150" s="199"/>
      <c r="C150" s="219"/>
      <c r="D150" s="232" t="s">
        <v>257</v>
      </c>
      <c r="E150" s="200"/>
      <c r="F150" s="343"/>
      <c r="G150" s="200"/>
      <c r="H150" s="259"/>
      <c r="I150" s="333"/>
    </row>
    <row r="151" spans="1:9" s="260" customFormat="1" ht="12.75" hidden="1" customHeight="1" x14ac:dyDescent="0.2">
      <c r="A151" s="198"/>
      <c r="B151" s="199"/>
      <c r="C151" s="219"/>
      <c r="D151" s="278"/>
      <c r="E151" s="200"/>
      <c r="F151" s="343"/>
      <c r="G151" s="200"/>
      <c r="H151" s="296"/>
      <c r="I151" s="333"/>
    </row>
    <row r="152" spans="1:9" ht="12.75" customHeight="1" x14ac:dyDescent="0.2">
      <c r="A152" s="194">
        <f>A143+1</f>
        <v>16</v>
      </c>
      <c r="B152" s="195" t="s">
        <v>171</v>
      </c>
      <c r="C152" s="218" t="s">
        <v>205</v>
      </c>
      <c r="D152" s="545" t="str">
        <f>$D$12</f>
        <v>FTE July 2025</v>
      </c>
      <c r="E152" s="197">
        <f>'3394'!I$145</f>
        <v>136646.84</v>
      </c>
      <c r="F152" s="344" t="s">
        <v>328</v>
      </c>
      <c r="G152" s="197">
        <f>SUBTOTAL(109,E152:F161)</f>
        <v>136646.84</v>
      </c>
      <c r="H152" s="297"/>
      <c r="I152" s="195"/>
    </row>
    <row r="153" spans="1:9" s="260" customFormat="1" ht="12.75" hidden="1" customHeight="1" x14ac:dyDescent="0.2">
      <c r="A153" s="194"/>
      <c r="B153" s="195"/>
      <c r="C153" s="218"/>
      <c r="D153" s="231" t="s">
        <v>597</v>
      </c>
      <c r="E153" s="197"/>
      <c r="F153" s="344"/>
      <c r="G153" s="197"/>
      <c r="H153" s="296"/>
      <c r="I153" s="284"/>
    </row>
    <row r="154" spans="1:9" s="260" customFormat="1" ht="12.75" hidden="1" customHeight="1" x14ac:dyDescent="0.2">
      <c r="A154" s="194"/>
      <c r="B154" s="195"/>
      <c r="C154" s="218"/>
      <c r="D154" s="354" t="s">
        <v>535</v>
      </c>
      <c r="E154" s="197"/>
      <c r="F154" s="344"/>
      <c r="G154" s="197"/>
      <c r="H154" s="296"/>
      <c r="I154" s="284"/>
    </row>
    <row r="155" spans="1:9" s="260" customFormat="1" ht="12.75" hidden="1" customHeight="1" x14ac:dyDescent="0.2">
      <c r="A155" s="194"/>
      <c r="B155" s="195"/>
      <c r="C155" s="218"/>
      <c r="D155" s="231" t="s">
        <v>280</v>
      </c>
      <c r="E155" s="197"/>
      <c r="F155" s="344"/>
      <c r="G155" s="197"/>
      <c r="H155" s="259"/>
      <c r="I155" s="230"/>
    </row>
    <row r="156" spans="1:9" s="260" customFormat="1" ht="12.75" hidden="1" customHeight="1" x14ac:dyDescent="0.2">
      <c r="A156" s="194"/>
      <c r="B156" s="195"/>
      <c r="C156" s="218"/>
      <c r="D156" s="231" t="s">
        <v>279</v>
      </c>
      <c r="E156" s="197"/>
      <c r="F156" s="344"/>
      <c r="G156" s="197"/>
      <c r="H156" s="259"/>
      <c r="I156" s="230"/>
    </row>
    <row r="157" spans="1:9" s="260" customFormat="1" ht="12.75" hidden="1" customHeight="1" x14ac:dyDescent="0.2">
      <c r="A157" s="194"/>
      <c r="B157" s="195"/>
      <c r="C157" s="218"/>
      <c r="D157" s="231" t="s">
        <v>288</v>
      </c>
      <c r="E157" s="197"/>
      <c r="F157" s="344"/>
      <c r="G157" s="197"/>
      <c r="H157" s="296"/>
      <c r="I157" s="284"/>
    </row>
    <row r="158" spans="1:9" s="260" customFormat="1" ht="12.75" hidden="1" customHeight="1" x14ac:dyDescent="0.2">
      <c r="A158" s="194"/>
      <c r="B158" s="195"/>
      <c r="C158" s="218"/>
      <c r="D158" s="231" t="s">
        <v>257</v>
      </c>
      <c r="E158" s="197"/>
      <c r="F158" s="344"/>
      <c r="G158" s="197"/>
      <c r="H158" s="296"/>
      <c r="I158" s="284"/>
    </row>
    <row r="159" spans="1:9" s="260" customFormat="1" ht="12.75" hidden="1" customHeight="1" x14ac:dyDescent="0.2">
      <c r="A159" s="194"/>
      <c r="B159" s="195"/>
      <c r="C159" s="218"/>
      <c r="D159" s="231" t="s">
        <v>387</v>
      </c>
      <c r="E159" s="197"/>
      <c r="F159" s="344"/>
      <c r="G159" s="197"/>
      <c r="H159" s="296"/>
      <c r="I159" s="284"/>
    </row>
    <row r="160" spans="1:9" s="260" customFormat="1" ht="12.75" hidden="1" customHeight="1" x14ac:dyDescent="0.2">
      <c r="A160" s="194"/>
      <c r="B160" s="195"/>
      <c r="C160" s="218"/>
      <c r="D160" s="276" t="s">
        <v>608</v>
      </c>
      <c r="E160" s="197"/>
      <c r="F160" s="344"/>
      <c r="G160" s="197"/>
      <c r="H160" s="259"/>
      <c r="I160" s="333"/>
    </row>
    <row r="161" spans="1:9" s="260" customFormat="1" ht="12.75" hidden="1" customHeight="1" x14ac:dyDescent="0.2">
      <c r="A161" s="194"/>
      <c r="B161" s="195"/>
      <c r="C161" s="218"/>
      <c r="D161" s="276" t="s">
        <v>603</v>
      </c>
      <c r="E161" s="197"/>
      <c r="F161" s="344"/>
      <c r="G161" s="197"/>
      <c r="H161" s="259"/>
      <c r="I161" s="333"/>
    </row>
    <row r="162" spans="1:9" s="260" customFormat="1" ht="12.75" customHeight="1" x14ac:dyDescent="0.2">
      <c r="A162" s="198">
        <f>A152+1</f>
        <v>17</v>
      </c>
      <c r="B162" s="199" t="s">
        <v>172</v>
      </c>
      <c r="C162" s="262" t="s">
        <v>286</v>
      </c>
      <c r="D162" s="277" t="str">
        <f>$D$12</f>
        <v>FTE July 2025</v>
      </c>
      <c r="E162" s="200">
        <f>'3395'!I$145</f>
        <v>363962.87</v>
      </c>
      <c r="F162" s="343"/>
      <c r="G162" s="200">
        <f>SUBTOTAL(109,E162:F170)</f>
        <v>363962.87</v>
      </c>
      <c r="H162" s="296"/>
      <c r="I162" s="284"/>
    </row>
    <row r="163" spans="1:9" s="260" customFormat="1" ht="12.75" hidden="1" customHeight="1" x14ac:dyDescent="0.2">
      <c r="A163" s="198"/>
      <c r="B163" s="199"/>
      <c r="C163" s="219"/>
      <c r="D163" s="232" t="s">
        <v>278</v>
      </c>
      <c r="E163" s="200"/>
      <c r="F163" s="343"/>
      <c r="G163" s="200"/>
      <c r="H163" s="296"/>
      <c r="I163" s="284"/>
    </row>
    <row r="164" spans="1:9" s="260" customFormat="1" ht="12.75" hidden="1" customHeight="1" x14ac:dyDescent="0.2">
      <c r="A164" s="198"/>
      <c r="B164" s="199"/>
      <c r="C164" s="219"/>
      <c r="D164" s="421" t="s">
        <v>535</v>
      </c>
      <c r="E164" s="200"/>
      <c r="F164" s="343"/>
      <c r="G164" s="200"/>
      <c r="H164" s="259"/>
      <c r="I164" s="230"/>
    </row>
    <row r="165" spans="1:9" s="260" customFormat="1" ht="12.75" hidden="1" customHeight="1" x14ac:dyDescent="0.2">
      <c r="A165" s="198"/>
      <c r="B165" s="199"/>
      <c r="C165" s="219"/>
      <c r="D165" s="232" t="s">
        <v>280</v>
      </c>
      <c r="E165" s="200"/>
      <c r="F165" s="343"/>
      <c r="G165" s="200"/>
      <c r="H165" s="296"/>
      <c r="I165" s="284"/>
    </row>
    <row r="166" spans="1:9" s="260" customFormat="1" ht="12.75" hidden="1" customHeight="1" x14ac:dyDescent="0.2">
      <c r="A166" s="198"/>
      <c r="B166" s="199"/>
      <c r="C166" s="219"/>
      <c r="D166" s="232" t="s">
        <v>279</v>
      </c>
      <c r="E166" s="200"/>
      <c r="F166" s="343"/>
      <c r="G166" s="200"/>
      <c r="H166" s="296"/>
      <c r="I166" s="284"/>
    </row>
    <row r="167" spans="1:9" s="260" customFormat="1" ht="12.75" hidden="1" customHeight="1" x14ac:dyDescent="0.2">
      <c r="A167" s="198"/>
      <c r="B167" s="199"/>
      <c r="C167" s="219"/>
      <c r="D167" s="232" t="s">
        <v>288</v>
      </c>
      <c r="E167" s="200"/>
      <c r="F167" s="343"/>
      <c r="G167" s="200"/>
      <c r="H167" s="296"/>
      <c r="I167" s="284"/>
    </row>
    <row r="168" spans="1:9" s="260" customFormat="1" ht="12.75" hidden="1" customHeight="1" x14ac:dyDescent="0.2">
      <c r="A168" s="198"/>
      <c r="B168" s="199"/>
      <c r="C168" s="219"/>
      <c r="D168" s="232" t="s">
        <v>257</v>
      </c>
      <c r="E168" s="200"/>
      <c r="F168" s="343"/>
      <c r="G168" s="200"/>
      <c r="H168" s="259"/>
      <c r="I168" s="333"/>
    </row>
    <row r="169" spans="1:9" s="260" customFormat="1" ht="12.75" hidden="1" customHeight="1" x14ac:dyDescent="0.2">
      <c r="A169" s="198"/>
      <c r="B169" s="199"/>
      <c r="C169" s="219"/>
      <c r="D169" s="315"/>
      <c r="E169" s="200"/>
      <c r="F169" s="343"/>
      <c r="G169" s="200"/>
      <c r="H169" s="296"/>
      <c r="I169" s="335"/>
    </row>
    <row r="170" spans="1:9" s="260" customFormat="1" ht="12.75" hidden="1" customHeight="1" x14ac:dyDescent="0.2">
      <c r="A170" s="347"/>
      <c r="B170" s="199"/>
      <c r="C170" s="219"/>
      <c r="D170" s="315"/>
      <c r="E170" s="592"/>
      <c r="F170" s="343"/>
      <c r="G170" s="200"/>
      <c r="H170" s="296"/>
      <c r="I170" s="335"/>
    </row>
    <row r="171" spans="1:9" s="260" customFormat="1" ht="12.75" customHeight="1" x14ac:dyDescent="0.2">
      <c r="A171" s="194">
        <f>A162+1</f>
        <v>18</v>
      </c>
      <c r="B171" s="195" t="s">
        <v>173</v>
      </c>
      <c r="C171" s="261" t="s">
        <v>227</v>
      </c>
      <c r="D171" s="545" t="str">
        <f>$D$12</f>
        <v>FTE July 2025</v>
      </c>
      <c r="E171" s="197">
        <f>'3396'!I$145</f>
        <v>481353.82</v>
      </c>
      <c r="F171" s="344"/>
      <c r="G171" s="197">
        <f>SUBTOTAL(109,E171:F178)</f>
        <v>481353.82</v>
      </c>
      <c r="H171" s="296"/>
      <c r="I171" s="284"/>
    </row>
    <row r="172" spans="1:9" s="260" customFormat="1" ht="12.75" hidden="1" customHeight="1" x14ac:dyDescent="0.2">
      <c r="A172" s="194"/>
      <c r="B172" s="195"/>
      <c r="C172" s="261"/>
      <c r="D172" s="231" t="s">
        <v>597</v>
      </c>
      <c r="E172" s="197"/>
      <c r="F172" s="344"/>
      <c r="G172" s="197"/>
      <c r="H172" s="296"/>
      <c r="I172" s="284"/>
    </row>
    <row r="173" spans="1:9" s="260" customFormat="1" ht="12.75" hidden="1" customHeight="1" x14ac:dyDescent="0.2">
      <c r="A173" s="194"/>
      <c r="B173" s="195"/>
      <c r="C173" s="261"/>
      <c r="D173" s="231" t="s">
        <v>535</v>
      </c>
      <c r="E173" s="197"/>
      <c r="F173" s="344"/>
      <c r="G173" s="197"/>
      <c r="H173" s="296"/>
      <c r="I173" s="284"/>
    </row>
    <row r="174" spans="1:9" s="260" customFormat="1" ht="12.75" hidden="1" customHeight="1" x14ac:dyDescent="0.2">
      <c r="A174" s="194"/>
      <c r="B174" s="195"/>
      <c r="C174" s="261"/>
      <c r="D174" s="231" t="s">
        <v>279</v>
      </c>
      <c r="E174" s="197"/>
      <c r="F174" s="344"/>
      <c r="G174" s="197"/>
      <c r="H174" s="259"/>
      <c r="I174" s="230"/>
    </row>
    <row r="175" spans="1:9" s="260" customFormat="1" ht="12.75" hidden="1" customHeight="1" x14ac:dyDescent="0.2">
      <c r="A175" s="194"/>
      <c r="B175" s="195"/>
      <c r="C175" s="261"/>
      <c r="D175" s="231" t="s">
        <v>288</v>
      </c>
      <c r="E175" s="197"/>
      <c r="F175" s="344"/>
      <c r="G175" s="197"/>
      <c r="H175" s="296"/>
      <c r="I175" s="284"/>
    </row>
    <row r="176" spans="1:9" s="260" customFormat="1" ht="12.75" hidden="1" customHeight="1" x14ac:dyDescent="0.2">
      <c r="A176" s="194"/>
      <c r="B176" s="195"/>
      <c r="C176" s="218"/>
      <c r="D176" s="231" t="s">
        <v>257</v>
      </c>
      <c r="E176" s="197"/>
      <c r="F176" s="344"/>
      <c r="G176" s="197"/>
      <c r="H176" s="296"/>
      <c r="I176" s="284"/>
    </row>
    <row r="177" spans="1:11" s="260" customFormat="1" ht="12.75" hidden="1" customHeight="1" x14ac:dyDescent="0.2">
      <c r="A177" s="194"/>
      <c r="B177" s="195"/>
      <c r="C177" s="218"/>
      <c r="D177" s="231" t="s">
        <v>387</v>
      </c>
      <c r="E177" s="197"/>
      <c r="F177" s="344"/>
      <c r="G177" s="197"/>
      <c r="H177" s="296"/>
      <c r="I177" s="284"/>
    </row>
    <row r="178" spans="1:11" s="260" customFormat="1" ht="12.75" hidden="1" customHeight="1" x14ac:dyDescent="0.2">
      <c r="A178" s="194"/>
      <c r="B178" s="195"/>
      <c r="C178" s="218"/>
      <c r="D178" s="276" t="s">
        <v>359</v>
      </c>
      <c r="E178" s="197"/>
      <c r="F178" s="344"/>
      <c r="G178" s="197"/>
      <c r="H178" s="259"/>
      <c r="I178" s="333"/>
    </row>
    <row r="179" spans="1:11" s="260" customFormat="1" ht="12.75" customHeight="1" x14ac:dyDescent="0.2">
      <c r="A179" s="198">
        <f>A171+1</f>
        <v>19</v>
      </c>
      <c r="B179" s="199" t="s">
        <v>174</v>
      </c>
      <c r="C179" s="219" t="s">
        <v>195</v>
      </c>
      <c r="D179" s="277" t="str">
        <f>$D$12</f>
        <v>FTE July 2025</v>
      </c>
      <c r="E179" s="200">
        <f>'3398'!I$145</f>
        <v>75370.149999999994</v>
      </c>
      <c r="F179" s="343"/>
      <c r="G179" s="200">
        <f>SUBTOTAL(109,E179:F185)</f>
        <v>75370.149999999994</v>
      </c>
      <c r="H179" s="296"/>
      <c r="I179" s="335"/>
    </row>
    <row r="180" spans="1:11" ht="12.75" hidden="1" customHeight="1" x14ac:dyDescent="0.2">
      <c r="A180" s="198"/>
      <c r="B180" s="199"/>
      <c r="C180" s="219"/>
      <c r="D180" s="232" t="s">
        <v>278</v>
      </c>
      <c r="E180" s="200"/>
      <c r="F180" s="343"/>
      <c r="G180" s="200"/>
      <c r="H180" s="297"/>
      <c r="I180" s="348"/>
    </row>
    <row r="181" spans="1:11" s="260" customFormat="1" ht="12.75" hidden="1" customHeight="1" x14ac:dyDescent="0.2">
      <c r="A181" s="198"/>
      <c r="B181" s="199"/>
      <c r="C181" s="219"/>
      <c r="D181" s="232" t="s">
        <v>535</v>
      </c>
      <c r="E181" s="200"/>
      <c r="F181" s="343"/>
      <c r="G181" s="200"/>
      <c r="H181" s="296"/>
      <c r="I181" s="284"/>
      <c r="K181" s="334"/>
    </row>
    <row r="182" spans="1:11" s="260" customFormat="1" ht="12.75" hidden="1" customHeight="1" x14ac:dyDescent="0.2">
      <c r="A182" s="198"/>
      <c r="B182" s="199"/>
      <c r="C182" s="219"/>
      <c r="D182" s="232" t="s">
        <v>279</v>
      </c>
      <c r="E182" s="200"/>
      <c r="F182" s="343"/>
      <c r="G182" s="200"/>
      <c r="H182" s="296"/>
      <c r="I182" s="284"/>
    </row>
    <row r="183" spans="1:11" s="260" customFormat="1" ht="12.75" hidden="1" customHeight="1" x14ac:dyDescent="0.2">
      <c r="A183" s="198"/>
      <c r="B183" s="199"/>
      <c r="C183" s="228"/>
      <c r="D183" s="232" t="s">
        <v>288</v>
      </c>
      <c r="E183" s="200"/>
      <c r="F183" s="343"/>
      <c r="G183" s="200"/>
      <c r="H183" s="296"/>
    </row>
    <row r="184" spans="1:11" s="260" customFormat="1" ht="12.75" hidden="1" customHeight="1" x14ac:dyDescent="0.2">
      <c r="A184" s="198"/>
      <c r="B184" s="199"/>
      <c r="C184" s="219"/>
      <c r="D184" s="232" t="s">
        <v>257</v>
      </c>
      <c r="E184" s="200"/>
      <c r="F184" s="343"/>
      <c r="G184" s="200"/>
      <c r="H184" s="296"/>
    </row>
    <row r="185" spans="1:11" s="260" customFormat="1" ht="12.75" hidden="1" customHeight="1" x14ac:dyDescent="0.2">
      <c r="A185" s="198"/>
      <c r="B185" s="199"/>
      <c r="C185" s="228"/>
      <c r="D185" s="278" t="s">
        <v>359</v>
      </c>
      <c r="E185" s="200"/>
      <c r="F185" s="343"/>
      <c r="G185" s="200"/>
      <c r="H185" s="296"/>
    </row>
    <row r="186" spans="1:11" s="260" customFormat="1" ht="12.75" customHeight="1" x14ac:dyDescent="0.2">
      <c r="A186" s="194">
        <f>A179+1</f>
        <v>20</v>
      </c>
      <c r="B186" s="195" t="s">
        <v>175</v>
      </c>
      <c r="C186" s="218" t="s">
        <v>189</v>
      </c>
      <c r="D186" s="545" t="str">
        <f>$D$12</f>
        <v>FTE July 2025</v>
      </c>
      <c r="E186" s="197">
        <f>'3400'!I$145</f>
        <v>93540.76</v>
      </c>
      <c r="F186" s="344"/>
      <c r="G186" s="197">
        <f>SUBTOTAL(109,E186:F193)</f>
        <v>92329.47</v>
      </c>
      <c r="H186" s="259"/>
      <c r="I186" s="333"/>
    </row>
    <row r="187" spans="1:11" s="260" customFormat="1" ht="12.75" hidden="1" customHeight="1" x14ac:dyDescent="0.2">
      <c r="A187" s="194"/>
      <c r="B187" s="195"/>
      <c r="C187" s="218"/>
      <c r="D187" s="231" t="s">
        <v>597</v>
      </c>
      <c r="E187" s="197"/>
      <c r="F187" s="344"/>
      <c r="G187" s="197"/>
      <c r="H187" s="296"/>
      <c r="I187" s="335"/>
    </row>
    <row r="188" spans="1:11" s="260" customFormat="1" ht="12.75" customHeight="1" x14ac:dyDescent="0.2">
      <c r="A188" s="194"/>
      <c r="B188" s="195"/>
      <c r="C188" s="218"/>
      <c r="D188" s="354" t="s">
        <v>624</v>
      </c>
      <c r="E188" s="197"/>
      <c r="F188" s="344">
        <v>-1211.29</v>
      </c>
      <c r="G188" s="197"/>
      <c r="H188" s="296"/>
      <c r="I188" s="284"/>
    </row>
    <row r="189" spans="1:11" s="260" customFormat="1" ht="12.75" hidden="1" customHeight="1" x14ac:dyDescent="0.2">
      <c r="A189" s="194"/>
      <c r="B189" s="195"/>
      <c r="C189" s="218"/>
      <c r="D189" s="231" t="s">
        <v>280</v>
      </c>
      <c r="E189" s="197"/>
      <c r="F189" s="344"/>
      <c r="G189" s="197"/>
      <c r="H189" s="296"/>
      <c r="I189" s="284"/>
    </row>
    <row r="190" spans="1:11" s="260" customFormat="1" ht="12.75" hidden="1" customHeight="1" x14ac:dyDescent="0.2">
      <c r="A190" s="194"/>
      <c r="B190" s="195"/>
      <c r="C190" s="218"/>
      <c r="D190" s="231" t="s">
        <v>279</v>
      </c>
      <c r="E190" s="197"/>
      <c r="F190" s="344"/>
      <c r="G190" s="197"/>
      <c r="H190" s="296"/>
      <c r="I190" s="284"/>
    </row>
    <row r="191" spans="1:11" s="260" customFormat="1" ht="12.75" hidden="1" customHeight="1" x14ac:dyDescent="0.2">
      <c r="A191" s="194"/>
      <c r="B191" s="195"/>
      <c r="C191" s="218"/>
      <c r="D191" s="231" t="s">
        <v>288</v>
      </c>
      <c r="E191" s="197"/>
      <c r="F191" s="344"/>
      <c r="G191" s="197"/>
      <c r="H191" s="296"/>
    </row>
    <row r="192" spans="1:11" s="260" customFormat="1" ht="12.75" hidden="1" customHeight="1" x14ac:dyDescent="0.2">
      <c r="A192" s="194"/>
      <c r="B192" s="195"/>
      <c r="C192" s="218"/>
      <c r="D192" s="231" t="s">
        <v>257</v>
      </c>
      <c r="E192" s="197"/>
      <c r="F192" s="344"/>
      <c r="G192" s="197"/>
      <c r="H192" s="296"/>
      <c r="I192" s="188"/>
    </row>
    <row r="193" spans="1:9" ht="12.75" hidden="1" customHeight="1" x14ac:dyDescent="0.2">
      <c r="A193" s="194"/>
      <c r="B193" s="195"/>
      <c r="C193" s="218"/>
      <c r="D193" s="276" t="s">
        <v>359</v>
      </c>
      <c r="E193" s="197"/>
      <c r="F193" s="344"/>
      <c r="G193" s="197"/>
      <c r="H193" s="297"/>
    </row>
    <row r="194" spans="1:9" s="260" customFormat="1" ht="12.75" customHeight="1" x14ac:dyDescent="0.2">
      <c r="A194" s="198">
        <f>A186+1</f>
        <v>21</v>
      </c>
      <c r="B194" s="199" t="s">
        <v>176</v>
      </c>
      <c r="C194" s="219" t="s">
        <v>206</v>
      </c>
      <c r="D194" s="277" t="str">
        <f>$D$12</f>
        <v>FTE July 2025</v>
      </c>
      <c r="E194" s="200">
        <f>'3401'!I$145</f>
        <v>291401.55</v>
      </c>
      <c r="F194" s="343"/>
      <c r="G194" s="200">
        <f>SUBTOTAL(109,E194:F204)</f>
        <v>291401.55</v>
      </c>
      <c r="H194" s="259"/>
      <c r="I194" s="333"/>
    </row>
    <row r="195" spans="1:9" ht="12.75" hidden="1" customHeight="1" x14ac:dyDescent="0.2">
      <c r="A195" s="198"/>
      <c r="B195" s="199"/>
      <c r="C195" s="219"/>
      <c r="D195" s="232" t="s">
        <v>278</v>
      </c>
      <c r="E195" s="200"/>
      <c r="F195" s="343"/>
      <c r="G195" s="200"/>
      <c r="H195" s="297"/>
      <c r="I195" s="284"/>
    </row>
    <row r="196" spans="1:9" s="260" customFormat="1" ht="12.75" hidden="1" customHeight="1" x14ac:dyDescent="0.2">
      <c r="A196" s="198"/>
      <c r="B196" s="199"/>
      <c r="C196" s="219"/>
      <c r="D196" s="421" t="s">
        <v>535</v>
      </c>
      <c r="E196" s="200"/>
      <c r="F196" s="343"/>
      <c r="G196" s="200"/>
      <c r="H196" s="296"/>
      <c r="I196" s="284"/>
    </row>
    <row r="197" spans="1:9" s="260" customFormat="1" ht="12.75" hidden="1" customHeight="1" x14ac:dyDescent="0.2">
      <c r="A197" s="198"/>
      <c r="B197" s="199"/>
      <c r="C197" s="219"/>
      <c r="D197" s="232" t="s">
        <v>397</v>
      </c>
      <c r="E197" s="200"/>
      <c r="F197" s="343"/>
      <c r="G197" s="200"/>
      <c r="H197" s="296"/>
      <c r="I197" s="284"/>
    </row>
    <row r="198" spans="1:9" s="260" customFormat="1" ht="12.75" hidden="1" customHeight="1" x14ac:dyDescent="0.2">
      <c r="A198" s="198"/>
      <c r="B198" s="199"/>
      <c r="C198" s="219"/>
      <c r="D198" s="232" t="s">
        <v>398</v>
      </c>
      <c r="E198" s="200"/>
      <c r="F198" s="343"/>
      <c r="G198" s="200"/>
      <c r="H198" s="259"/>
      <c r="I198" s="230"/>
    </row>
    <row r="199" spans="1:9" s="260" customFormat="1" ht="12.75" hidden="1" customHeight="1" x14ac:dyDescent="0.2">
      <c r="A199" s="198"/>
      <c r="B199" s="199"/>
      <c r="C199" s="219"/>
      <c r="D199" s="232" t="s">
        <v>280</v>
      </c>
      <c r="E199" s="200"/>
      <c r="F199" s="343"/>
      <c r="G199" s="200"/>
      <c r="H199" s="296"/>
    </row>
    <row r="200" spans="1:9" s="260" customFormat="1" ht="12.75" hidden="1" customHeight="1" x14ac:dyDescent="0.2">
      <c r="A200" s="198"/>
      <c r="B200" s="199"/>
      <c r="C200" s="219"/>
      <c r="D200" s="232" t="s">
        <v>279</v>
      </c>
      <c r="E200" s="200"/>
      <c r="F200" s="343"/>
      <c r="G200" s="200"/>
      <c r="H200" s="296"/>
    </row>
    <row r="201" spans="1:9" s="260" customFormat="1" ht="12.75" hidden="1" customHeight="1" x14ac:dyDescent="0.2">
      <c r="A201" s="198"/>
      <c r="B201" s="199"/>
      <c r="C201" s="219"/>
      <c r="D201" s="232" t="s">
        <v>288</v>
      </c>
      <c r="E201" s="200"/>
      <c r="F201" s="343"/>
      <c r="G201" s="200"/>
      <c r="H201" s="296"/>
      <c r="I201" s="195"/>
    </row>
    <row r="202" spans="1:9" s="260" customFormat="1" ht="12.75" hidden="1" customHeight="1" x14ac:dyDescent="0.2">
      <c r="A202" s="198"/>
      <c r="B202" s="199"/>
      <c r="C202" s="219"/>
      <c r="D202" s="232" t="s">
        <v>257</v>
      </c>
      <c r="E202" s="200"/>
      <c r="F202" s="343"/>
      <c r="G202" s="200"/>
      <c r="H202" s="259"/>
      <c r="I202" s="333"/>
    </row>
    <row r="203" spans="1:9" s="260" customFormat="1" ht="12.75" hidden="1" customHeight="1" x14ac:dyDescent="0.2">
      <c r="A203" s="198"/>
      <c r="B203" s="199"/>
      <c r="C203" s="228"/>
      <c r="D203" s="315" t="s">
        <v>388</v>
      </c>
      <c r="E203" s="200"/>
      <c r="F203" s="343"/>
      <c r="G203" s="200"/>
      <c r="H203" s="259"/>
      <c r="I203" s="333"/>
    </row>
    <row r="204" spans="1:9" s="260" customFormat="1" ht="12.75" hidden="1" customHeight="1" x14ac:dyDescent="0.2">
      <c r="A204" s="198"/>
      <c r="B204" s="199"/>
      <c r="C204" s="219"/>
      <c r="D204" s="278" t="s">
        <v>359</v>
      </c>
      <c r="E204" s="200"/>
      <c r="F204" s="343"/>
      <c r="G204" s="200"/>
      <c r="H204" s="296"/>
      <c r="I204" s="195"/>
    </row>
    <row r="205" spans="1:9" s="260" customFormat="1" ht="12.75" customHeight="1" x14ac:dyDescent="0.2">
      <c r="A205" s="194">
        <f>A194+1</f>
        <v>22</v>
      </c>
      <c r="B205" s="195" t="s">
        <v>177</v>
      </c>
      <c r="C205" s="218" t="s">
        <v>207</v>
      </c>
      <c r="D205" s="545" t="str">
        <f>$D$12</f>
        <v>FTE July 2025</v>
      </c>
      <c r="E205" s="197">
        <f>'3413'!I$145</f>
        <v>282765.64</v>
      </c>
      <c r="F205" s="344"/>
      <c r="G205" s="197">
        <f>SUBTOTAL(109,E205:F212)</f>
        <v>282765.64</v>
      </c>
      <c r="H205" s="296"/>
      <c r="I205" s="195"/>
    </row>
    <row r="206" spans="1:9" s="260" customFormat="1" ht="12.75" hidden="1" customHeight="1" x14ac:dyDescent="0.2">
      <c r="A206" s="194"/>
      <c r="B206" s="195"/>
      <c r="C206" s="218"/>
      <c r="D206" s="231" t="s">
        <v>597</v>
      </c>
      <c r="E206" s="197"/>
      <c r="F206" s="344"/>
      <c r="G206" s="197"/>
      <c r="H206" s="296"/>
      <c r="I206" s="195"/>
    </row>
    <row r="207" spans="1:9" s="260" customFormat="1" ht="12.75" hidden="1" customHeight="1" x14ac:dyDescent="0.2">
      <c r="A207" s="194"/>
      <c r="B207" s="195"/>
      <c r="C207" s="218"/>
      <c r="D207" s="354" t="s">
        <v>535</v>
      </c>
      <c r="E207" s="197"/>
      <c r="F207" s="344"/>
      <c r="G207" s="197"/>
      <c r="H207" s="296"/>
      <c r="I207" s="195"/>
    </row>
    <row r="208" spans="1:9" s="260" customFormat="1" ht="12.75" hidden="1" customHeight="1" x14ac:dyDescent="0.2">
      <c r="A208" s="194"/>
      <c r="B208" s="195"/>
      <c r="C208" s="218"/>
      <c r="D208" s="231" t="s">
        <v>280</v>
      </c>
      <c r="E208" s="197"/>
      <c r="F208" s="344"/>
      <c r="G208" s="197"/>
      <c r="H208" s="296"/>
      <c r="I208" s="195"/>
    </row>
    <row r="209" spans="1:9" s="260" customFormat="1" ht="12.75" hidden="1" customHeight="1" x14ac:dyDescent="0.2">
      <c r="A209" s="194"/>
      <c r="B209" s="195"/>
      <c r="C209" s="218"/>
      <c r="D209" s="231" t="s">
        <v>279</v>
      </c>
      <c r="E209" s="197"/>
      <c r="F209" s="344"/>
      <c r="G209" s="197"/>
      <c r="H209" s="296"/>
      <c r="I209" s="195"/>
    </row>
    <row r="210" spans="1:9" s="260" customFormat="1" ht="12.75" hidden="1" customHeight="1" x14ac:dyDescent="0.2">
      <c r="A210" s="194"/>
      <c r="B210" s="195"/>
      <c r="C210" s="218"/>
      <c r="D210" s="231" t="s">
        <v>288</v>
      </c>
      <c r="E210" s="197"/>
      <c r="F210" s="344"/>
      <c r="G210" s="197"/>
      <c r="H210" s="296"/>
      <c r="I210" s="195"/>
    </row>
    <row r="211" spans="1:9" s="260" customFormat="1" ht="12.75" hidden="1" customHeight="1" x14ac:dyDescent="0.2">
      <c r="A211" s="194"/>
      <c r="B211" s="195"/>
      <c r="C211" s="218"/>
      <c r="D211" s="231" t="s">
        <v>257</v>
      </c>
      <c r="E211" s="197"/>
      <c r="F211" s="344"/>
      <c r="G211" s="197"/>
      <c r="H211" s="296"/>
      <c r="I211" s="195"/>
    </row>
    <row r="212" spans="1:9" s="260" customFormat="1" ht="12.75" hidden="1" customHeight="1" x14ac:dyDescent="0.2">
      <c r="A212" s="194"/>
      <c r="B212" s="195"/>
      <c r="C212" s="218"/>
      <c r="D212" s="276" t="s">
        <v>359</v>
      </c>
      <c r="E212" s="197"/>
      <c r="F212" s="344"/>
      <c r="G212" s="197"/>
      <c r="H212" s="259"/>
      <c r="I212" s="333"/>
    </row>
    <row r="213" spans="1:9" s="260" customFormat="1" ht="12.75" customHeight="1" x14ac:dyDescent="0.2">
      <c r="A213" s="198">
        <f>A205+1</f>
        <v>23</v>
      </c>
      <c r="B213" s="199" t="s">
        <v>178</v>
      </c>
      <c r="C213" s="219" t="s">
        <v>208</v>
      </c>
      <c r="D213" s="277" t="str">
        <f>$D$12</f>
        <v>FTE July 2025</v>
      </c>
      <c r="E213" s="200">
        <f>'3421'!I$145</f>
        <v>318686.65000000002</v>
      </c>
      <c r="F213" s="343"/>
      <c r="G213" s="200">
        <f>SUBTOTAL(109,E213:F223)</f>
        <v>318686.65000000002</v>
      </c>
      <c r="H213" s="296"/>
      <c r="I213" s="338"/>
    </row>
    <row r="214" spans="1:9" s="260" customFormat="1" ht="12.75" hidden="1" customHeight="1" x14ac:dyDescent="0.2">
      <c r="A214" s="198"/>
      <c r="B214" s="199"/>
      <c r="C214" s="219"/>
      <c r="D214" s="232" t="s">
        <v>278</v>
      </c>
      <c r="E214" s="200"/>
      <c r="F214" s="343"/>
      <c r="G214" s="200"/>
      <c r="H214" s="259"/>
      <c r="I214" s="333"/>
    </row>
    <row r="215" spans="1:9" s="260" customFormat="1" ht="12.75" hidden="1" customHeight="1" x14ac:dyDescent="0.2">
      <c r="A215" s="198"/>
      <c r="B215" s="199"/>
      <c r="C215" s="219"/>
      <c r="D215" s="421" t="s">
        <v>409</v>
      </c>
      <c r="E215" s="200"/>
      <c r="F215" s="343"/>
      <c r="G215" s="200"/>
      <c r="H215" s="296"/>
      <c r="I215" s="195"/>
    </row>
    <row r="216" spans="1:9" s="260" customFormat="1" ht="12.75" hidden="1" customHeight="1" x14ac:dyDescent="0.2">
      <c r="A216" s="198"/>
      <c r="B216" s="199"/>
      <c r="C216" s="219"/>
      <c r="D216" s="232" t="s">
        <v>397</v>
      </c>
      <c r="E216" s="200"/>
      <c r="F216" s="343"/>
      <c r="G216" s="200"/>
      <c r="H216" s="296"/>
      <c r="I216" s="195"/>
    </row>
    <row r="217" spans="1:9" s="260" customFormat="1" ht="12.75" hidden="1" customHeight="1" x14ac:dyDescent="0.2">
      <c r="A217" s="198"/>
      <c r="B217" s="199"/>
      <c r="C217" s="219"/>
      <c r="D217" s="232" t="s">
        <v>398</v>
      </c>
      <c r="E217" s="200"/>
      <c r="F217" s="343"/>
      <c r="G217" s="200"/>
      <c r="H217" s="259"/>
      <c r="I217" s="230"/>
    </row>
    <row r="218" spans="1:9" s="260" customFormat="1" ht="12.75" hidden="1" customHeight="1" x14ac:dyDescent="0.2">
      <c r="A218" s="198"/>
      <c r="B218" s="199"/>
      <c r="C218" s="219"/>
      <c r="D218" s="232" t="s">
        <v>280</v>
      </c>
      <c r="E218" s="200"/>
      <c r="F218" s="343"/>
      <c r="G218" s="200"/>
      <c r="H218" s="296"/>
    </row>
    <row r="219" spans="1:9" s="260" customFormat="1" ht="12.75" hidden="1" customHeight="1" x14ac:dyDescent="0.2">
      <c r="A219" s="198"/>
      <c r="B219" s="199"/>
      <c r="C219" s="219"/>
      <c r="D219" s="232" t="s">
        <v>279</v>
      </c>
      <c r="E219" s="200"/>
      <c r="F219" s="343"/>
      <c r="G219" s="200"/>
      <c r="H219" s="296"/>
    </row>
    <row r="220" spans="1:9" s="260" customFormat="1" ht="12.75" hidden="1" customHeight="1" x14ac:dyDescent="0.2">
      <c r="A220" s="198"/>
      <c r="B220" s="199"/>
      <c r="C220" s="219"/>
      <c r="D220" s="232" t="s">
        <v>288</v>
      </c>
      <c r="E220" s="200"/>
      <c r="F220" s="343"/>
      <c r="G220" s="200"/>
      <c r="H220" s="296"/>
    </row>
    <row r="221" spans="1:9" s="260" customFormat="1" ht="12.75" hidden="1" customHeight="1" x14ac:dyDescent="0.2">
      <c r="A221" s="198"/>
      <c r="B221" s="199"/>
      <c r="C221" s="219"/>
      <c r="D221" s="232" t="s">
        <v>257</v>
      </c>
      <c r="E221" s="200"/>
      <c r="F221" s="343"/>
      <c r="G221" s="200"/>
      <c r="H221" s="259"/>
      <c r="I221" s="333"/>
    </row>
    <row r="222" spans="1:9" s="260" customFormat="1" ht="12.75" hidden="1" customHeight="1" x14ac:dyDescent="0.2">
      <c r="A222" s="198"/>
      <c r="B222" s="199"/>
      <c r="C222" s="228"/>
      <c r="D222" s="315" t="s">
        <v>388</v>
      </c>
      <c r="E222" s="200"/>
      <c r="F222" s="343"/>
      <c r="G222" s="200"/>
      <c r="H222" s="259"/>
      <c r="I222" s="333"/>
    </row>
    <row r="223" spans="1:9" s="260" customFormat="1" ht="12.75" hidden="1" customHeight="1" x14ac:dyDescent="0.2">
      <c r="A223" s="198"/>
      <c r="B223" s="199"/>
      <c r="C223" s="219"/>
      <c r="D223" s="278" t="s">
        <v>359</v>
      </c>
      <c r="E223" s="200"/>
      <c r="F223" s="343"/>
      <c r="G223" s="200"/>
      <c r="H223" s="296"/>
    </row>
    <row r="224" spans="1:9" s="260" customFormat="1" ht="12.75" customHeight="1" x14ac:dyDescent="0.2">
      <c r="A224" s="194">
        <f>A213+1</f>
        <v>24</v>
      </c>
      <c r="B224" s="195" t="s">
        <v>179</v>
      </c>
      <c r="C224" s="218" t="s">
        <v>210</v>
      </c>
      <c r="D224" s="545" t="str">
        <f>$D$12</f>
        <v>FTE July 2025</v>
      </c>
      <c r="E224" s="197">
        <f>'3431'!I$145</f>
        <v>727291.13</v>
      </c>
      <c r="F224" s="344"/>
      <c r="G224" s="197">
        <f>SUBTOTAL(109,E224:F233)</f>
        <v>727291.13</v>
      </c>
      <c r="H224" s="296"/>
    </row>
    <row r="225" spans="1:9" s="260" customFormat="1" ht="12.75" hidden="1" customHeight="1" x14ac:dyDescent="0.2">
      <c r="A225" s="194"/>
      <c r="B225" s="195"/>
      <c r="C225" s="218"/>
      <c r="D225" s="231" t="s">
        <v>597</v>
      </c>
      <c r="E225" s="197"/>
      <c r="F225" s="344"/>
      <c r="G225" s="197"/>
      <c r="H225" s="296"/>
      <c r="I225" s="195"/>
    </row>
    <row r="226" spans="1:9" s="260" customFormat="1" ht="12.75" hidden="1" customHeight="1" x14ac:dyDescent="0.2">
      <c r="A226" s="194"/>
      <c r="B226" s="195"/>
      <c r="C226" s="218"/>
      <c r="D226" s="354" t="s">
        <v>535</v>
      </c>
      <c r="E226" s="197"/>
      <c r="F226" s="344"/>
      <c r="G226" s="197"/>
      <c r="H226" s="296"/>
      <c r="I226" s="195"/>
    </row>
    <row r="227" spans="1:9" s="260" customFormat="1" ht="12.75" hidden="1" customHeight="1" x14ac:dyDescent="0.2">
      <c r="A227" s="194"/>
      <c r="B227" s="195"/>
      <c r="C227" s="218"/>
      <c r="D227" s="231" t="s">
        <v>280</v>
      </c>
      <c r="E227" s="197"/>
      <c r="F227" s="344"/>
      <c r="G227" s="197"/>
      <c r="H227" s="296"/>
      <c r="I227" s="195"/>
    </row>
    <row r="228" spans="1:9" s="260" customFormat="1" ht="12.75" hidden="1" customHeight="1" x14ac:dyDescent="0.2">
      <c r="A228" s="194"/>
      <c r="B228" s="195"/>
      <c r="C228" s="218"/>
      <c r="D228" s="231" t="s">
        <v>378</v>
      </c>
      <c r="E228" s="197"/>
      <c r="F228" s="344"/>
      <c r="G228" s="197"/>
      <c r="H228" s="296"/>
    </row>
    <row r="229" spans="1:9" s="260" customFormat="1" ht="12.75" hidden="1" customHeight="1" x14ac:dyDescent="0.2">
      <c r="A229" s="194"/>
      <c r="B229" s="195"/>
      <c r="C229" s="218"/>
      <c r="D229" s="231" t="s">
        <v>288</v>
      </c>
      <c r="E229" s="197"/>
      <c r="F229" s="344"/>
      <c r="G229" s="197"/>
      <c r="H229" s="296"/>
      <c r="I229" s="195"/>
    </row>
    <row r="230" spans="1:9" s="260" customFormat="1" ht="12.75" hidden="1" customHeight="1" x14ac:dyDescent="0.2">
      <c r="A230" s="194"/>
      <c r="B230" s="195"/>
      <c r="C230" s="218"/>
      <c r="D230" s="231" t="s">
        <v>257</v>
      </c>
      <c r="E230" s="197"/>
      <c r="F230" s="344"/>
      <c r="G230" s="197"/>
      <c r="H230" s="296"/>
    </row>
    <row r="231" spans="1:9" s="260" customFormat="1" ht="12.75" hidden="1" customHeight="1" x14ac:dyDescent="0.2">
      <c r="A231" s="194"/>
      <c r="B231" s="195"/>
      <c r="C231" s="218"/>
      <c r="D231" s="231" t="s">
        <v>302</v>
      </c>
      <c r="E231" s="197"/>
      <c r="F231" s="344"/>
      <c r="G231" s="197"/>
      <c r="H231" s="259"/>
      <c r="I231" s="333"/>
    </row>
    <row r="232" spans="1:9" s="260" customFormat="1" ht="12.75" hidden="1" customHeight="1" x14ac:dyDescent="0.2">
      <c r="A232" s="194"/>
      <c r="B232" s="195"/>
      <c r="C232" s="230"/>
      <c r="D232" s="355" t="s">
        <v>388</v>
      </c>
      <c r="E232" s="197"/>
      <c r="F232" s="344"/>
      <c r="G232" s="197"/>
      <c r="H232" s="296"/>
      <c r="I232" s="338"/>
    </row>
    <row r="233" spans="1:9" s="260" customFormat="1" ht="12.75" hidden="1" customHeight="1" x14ac:dyDescent="0.2">
      <c r="A233" s="194"/>
      <c r="B233" s="195"/>
      <c r="C233" s="218"/>
      <c r="D233" s="276" t="s">
        <v>391</v>
      </c>
      <c r="E233" s="197"/>
      <c r="F233" s="344"/>
      <c r="G233" s="197"/>
      <c r="H233" s="259"/>
      <c r="I233" s="333"/>
    </row>
    <row r="234" spans="1:9" s="260" customFormat="1" ht="12.75" customHeight="1" x14ac:dyDescent="0.2">
      <c r="A234" s="198">
        <f>A224+1</f>
        <v>25</v>
      </c>
      <c r="B234" s="199">
        <v>3441</v>
      </c>
      <c r="C234" s="262" t="s">
        <v>228</v>
      </c>
      <c r="D234" s="277" t="str">
        <f>$D$12</f>
        <v>FTE July 2025</v>
      </c>
      <c r="E234" s="200">
        <f>'3441'!I$145</f>
        <v>365051.77</v>
      </c>
      <c r="F234" s="343"/>
      <c r="G234" s="200">
        <f>SUBTOTAL(109,E234:F242)</f>
        <v>365051.77</v>
      </c>
      <c r="H234" s="296"/>
    </row>
    <row r="235" spans="1:9" s="260" customFormat="1" ht="12.75" hidden="1" customHeight="1" x14ac:dyDescent="0.2">
      <c r="A235" s="198"/>
      <c r="B235" s="199"/>
      <c r="C235" s="262"/>
      <c r="D235" s="232" t="s">
        <v>278</v>
      </c>
      <c r="E235" s="200"/>
      <c r="F235" s="343"/>
      <c r="G235" s="200"/>
      <c r="H235" s="296"/>
    </row>
    <row r="236" spans="1:9" s="260" customFormat="1" ht="12.75" hidden="1" customHeight="1" x14ac:dyDescent="0.2">
      <c r="A236" s="198"/>
      <c r="B236" s="199"/>
      <c r="C236" s="219"/>
      <c r="D236" s="421" t="s">
        <v>535</v>
      </c>
      <c r="E236" s="200"/>
      <c r="F236" s="343"/>
      <c r="G236" s="200"/>
      <c r="H236" s="296"/>
      <c r="I236" s="195"/>
    </row>
    <row r="237" spans="1:9" s="260" customFormat="1" ht="12.75" hidden="1" customHeight="1" x14ac:dyDescent="0.2">
      <c r="A237" s="198"/>
      <c r="B237" s="199"/>
      <c r="C237" s="262"/>
      <c r="D237" s="232" t="s">
        <v>280</v>
      </c>
      <c r="E237" s="200"/>
      <c r="F237" s="343"/>
      <c r="G237" s="200"/>
      <c r="H237" s="296"/>
    </row>
    <row r="238" spans="1:9" s="260" customFormat="1" ht="12.75" hidden="1" customHeight="1" x14ac:dyDescent="0.2">
      <c r="A238" s="198"/>
      <c r="B238" s="199"/>
      <c r="C238" s="219"/>
      <c r="D238" s="232" t="s">
        <v>279</v>
      </c>
      <c r="E238" s="200"/>
      <c r="F238" s="343"/>
      <c r="G238" s="200"/>
      <c r="H238" s="296"/>
      <c r="I238" s="195"/>
    </row>
    <row r="239" spans="1:9" s="260" customFormat="1" ht="12.75" hidden="1" customHeight="1" x14ac:dyDescent="0.2">
      <c r="A239" s="198"/>
      <c r="B239" s="199"/>
      <c r="C239" s="219"/>
      <c r="D239" s="232" t="s">
        <v>288</v>
      </c>
      <c r="E239" s="200"/>
      <c r="F239" s="343"/>
      <c r="G239" s="200"/>
      <c r="H239" s="296"/>
      <c r="I239" s="195"/>
    </row>
    <row r="240" spans="1:9" s="260" customFormat="1" ht="12.75" hidden="1" customHeight="1" x14ac:dyDescent="0.2">
      <c r="A240" s="198"/>
      <c r="B240" s="199"/>
      <c r="C240" s="219"/>
      <c r="D240" s="232" t="s">
        <v>257</v>
      </c>
      <c r="E240" s="200"/>
      <c r="F240" s="343"/>
      <c r="G240" s="200"/>
      <c r="H240" s="296"/>
      <c r="I240" s="333"/>
    </row>
    <row r="241" spans="1:9" s="260" customFormat="1" ht="12.75" hidden="1" customHeight="1" x14ac:dyDescent="0.2">
      <c r="A241" s="198"/>
      <c r="B241" s="199"/>
      <c r="C241" s="219"/>
      <c r="D241" s="232" t="s">
        <v>302</v>
      </c>
      <c r="E241" s="200"/>
      <c r="F241" s="343"/>
      <c r="G241" s="200"/>
      <c r="H241" s="296"/>
      <c r="I241" s="284"/>
    </row>
    <row r="242" spans="1:9" s="260" customFormat="1" ht="12.75" hidden="1" customHeight="1" x14ac:dyDescent="0.2">
      <c r="A242" s="198"/>
      <c r="B242" s="199"/>
      <c r="C242" s="219"/>
      <c r="D242" s="278" t="s">
        <v>359</v>
      </c>
      <c r="E242" s="200"/>
      <c r="F242" s="343"/>
      <c r="G242" s="200"/>
      <c r="H242" s="296"/>
      <c r="I242" s="338"/>
    </row>
    <row r="243" spans="1:9" s="260" customFormat="1" ht="12.75" customHeight="1" x14ac:dyDescent="0.2">
      <c r="A243" s="194">
        <f>A234+1</f>
        <v>26</v>
      </c>
      <c r="B243" s="195">
        <v>3924</v>
      </c>
      <c r="C243" s="261" t="s">
        <v>414</v>
      </c>
      <c r="D243" s="545" t="str">
        <f>$D$12</f>
        <v>FTE July 2025</v>
      </c>
      <c r="E243" s="197">
        <f>'3924'!I$145</f>
        <v>303122.37</v>
      </c>
      <c r="F243" s="344"/>
      <c r="G243" s="197">
        <f>SUBTOTAL(109,E243:F252)</f>
        <v>303122.37</v>
      </c>
      <c r="H243" s="296"/>
    </row>
    <row r="244" spans="1:9" s="260" customFormat="1" ht="12.75" hidden="1" customHeight="1" x14ac:dyDescent="0.2">
      <c r="A244" s="194"/>
      <c r="B244" s="195"/>
      <c r="C244" s="218"/>
      <c r="D244" s="231" t="s">
        <v>597</v>
      </c>
      <c r="E244" s="197"/>
      <c r="F244" s="344"/>
      <c r="G244" s="197"/>
      <c r="H244" s="296"/>
    </row>
    <row r="245" spans="1:9" s="260" customFormat="1" ht="12.75" hidden="1" customHeight="1" x14ac:dyDescent="0.2">
      <c r="A245" s="194"/>
      <c r="B245" s="195"/>
      <c r="C245" s="218"/>
      <c r="D245" s="354" t="s">
        <v>535</v>
      </c>
      <c r="E245" s="197"/>
      <c r="F245" s="344"/>
      <c r="G245" s="197"/>
      <c r="H245" s="296"/>
    </row>
    <row r="246" spans="1:9" s="260" customFormat="1" ht="12.75" hidden="1" customHeight="1" x14ac:dyDescent="0.2">
      <c r="A246" s="194"/>
      <c r="B246" s="195"/>
      <c r="C246" s="218"/>
      <c r="D246" s="354" t="s">
        <v>395</v>
      </c>
      <c r="E246" s="197"/>
      <c r="F246" s="344"/>
      <c r="G246" s="197"/>
      <c r="H246" s="259"/>
      <c r="I246" s="230"/>
    </row>
    <row r="247" spans="1:9" s="260" customFormat="1" ht="12.75" hidden="1" customHeight="1" x14ac:dyDescent="0.2">
      <c r="A247" s="194"/>
      <c r="B247" s="195"/>
      <c r="C247" s="218"/>
      <c r="D247" s="231" t="s">
        <v>280</v>
      </c>
      <c r="E247" s="197"/>
      <c r="F247" s="344"/>
      <c r="G247" s="197"/>
      <c r="H247" s="296"/>
    </row>
    <row r="248" spans="1:9" s="260" customFormat="1" ht="12.75" hidden="1" customHeight="1" x14ac:dyDescent="0.2">
      <c r="A248" s="194"/>
      <c r="B248" s="195"/>
      <c r="C248" s="218"/>
      <c r="D248" s="231" t="s">
        <v>279</v>
      </c>
      <c r="E248" s="197"/>
      <c r="F248" s="344"/>
      <c r="G248" s="197"/>
      <c r="H248" s="296"/>
    </row>
    <row r="249" spans="1:9" s="260" customFormat="1" ht="12.75" hidden="1" customHeight="1" x14ac:dyDescent="0.2">
      <c r="A249" s="194"/>
      <c r="B249" s="195"/>
      <c r="C249" s="218"/>
      <c r="D249" s="231" t="s">
        <v>288</v>
      </c>
      <c r="E249" s="197"/>
      <c r="F249" s="344"/>
      <c r="G249" s="197"/>
      <c r="H249" s="296"/>
      <c r="I249" s="195"/>
    </row>
    <row r="250" spans="1:9" s="260" customFormat="1" ht="12.75" hidden="1" customHeight="1" x14ac:dyDescent="0.2">
      <c r="A250" s="194"/>
      <c r="B250" s="195"/>
      <c r="C250" s="218"/>
      <c r="D250" s="231" t="s">
        <v>257</v>
      </c>
      <c r="E250" s="197"/>
      <c r="F250" s="344"/>
      <c r="G250" s="197"/>
      <c r="H250" s="259"/>
      <c r="I250" s="333"/>
    </row>
    <row r="251" spans="1:9" s="260" customFormat="1" ht="12.75" hidden="1" customHeight="1" x14ac:dyDescent="0.2">
      <c r="A251" s="194"/>
      <c r="B251" s="195"/>
      <c r="C251" s="230"/>
      <c r="D251" s="355" t="s">
        <v>388</v>
      </c>
      <c r="E251" s="197"/>
      <c r="F251" s="344"/>
      <c r="G251" s="197"/>
      <c r="H251" s="296"/>
    </row>
    <row r="252" spans="1:9" s="260" customFormat="1" ht="12.75" hidden="1" customHeight="1" x14ac:dyDescent="0.2">
      <c r="A252" s="194"/>
      <c r="B252" s="195"/>
      <c r="C252" s="218"/>
      <c r="D252" s="276" t="s">
        <v>433</v>
      </c>
      <c r="E252" s="197"/>
      <c r="F252" s="344"/>
      <c r="G252" s="197"/>
      <c r="H252" s="296"/>
    </row>
    <row r="253" spans="1:9" s="260" customFormat="1" ht="12.75" customHeight="1" x14ac:dyDescent="0.2">
      <c r="A253" s="198">
        <f>A243+1</f>
        <v>27</v>
      </c>
      <c r="B253" s="199" t="s">
        <v>180</v>
      </c>
      <c r="C253" s="219" t="s">
        <v>191</v>
      </c>
      <c r="D253" s="277" t="str">
        <f>$D$12</f>
        <v>FTE July 2025</v>
      </c>
      <c r="E253" s="200">
        <f>'3941'!I$145</f>
        <v>166503.70000000001</v>
      </c>
      <c r="F253" s="343"/>
      <c r="G253" s="200">
        <f>SUBTOTAL(109,E253:F262)</f>
        <v>166503.70000000001</v>
      </c>
      <c r="H253" s="296"/>
    </row>
    <row r="254" spans="1:9" s="260" customFormat="1" ht="12.75" hidden="1" customHeight="1" x14ac:dyDescent="0.2">
      <c r="A254" s="198"/>
      <c r="B254" s="199"/>
      <c r="C254" s="219"/>
      <c r="D254" s="232" t="s">
        <v>278</v>
      </c>
      <c r="E254" s="200"/>
      <c r="F254" s="343"/>
      <c r="G254" s="200"/>
      <c r="H254" s="296"/>
    </row>
    <row r="255" spans="1:9" s="260" customFormat="1" ht="12.75" hidden="1" customHeight="1" x14ac:dyDescent="0.2">
      <c r="A255" s="198"/>
      <c r="B255" s="199"/>
      <c r="C255" s="219"/>
      <c r="D255" s="421" t="s">
        <v>535</v>
      </c>
      <c r="E255" s="200"/>
      <c r="F255" s="343"/>
      <c r="G255" s="200"/>
      <c r="H255" s="296"/>
      <c r="I255" s="195"/>
    </row>
    <row r="256" spans="1:9" s="260" customFormat="1" ht="12.75" hidden="1" customHeight="1" x14ac:dyDescent="0.2">
      <c r="A256" s="198"/>
      <c r="B256" s="199"/>
      <c r="C256" s="219"/>
      <c r="D256" s="232" t="s">
        <v>280</v>
      </c>
      <c r="E256" s="200"/>
      <c r="F256" s="343"/>
      <c r="G256" s="200"/>
      <c r="H256" s="296"/>
      <c r="I256" s="195"/>
    </row>
    <row r="257" spans="1:9" s="260" customFormat="1" ht="12.75" hidden="1" customHeight="1" x14ac:dyDescent="0.2">
      <c r="A257" s="198"/>
      <c r="B257" s="199"/>
      <c r="C257" s="219"/>
      <c r="D257" s="232" t="s">
        <v>279</v>
      </c>
      <c r="E257" s="200"/>
      <c r="F257" s="343"/>
      <c r="G257" s="200"/>
      <c r="H257" s="296"/>
    </row>
    <row r="258" spans="1:9" s="260" customFormat="1" ht="12.75" hidden="1" customHeight="1" x14ac:dyDescent="0.2">
      <c r="A258" s="198"/>
      <c r="B258" s="199"/>
      <c r="C258" s="219"/>
      <c r="D258" s="232" t="s">
        <v>288</v>
      </c>
      <c r="E258" s="200"/>
      <c r="F258" s="343"/>
      <c r="G258" s="200"/>
      <c r="H258" s="296"/>
    </row>
    <row r="259" spans="1:9" s="260" customFormat="1" ht="12.75" hidden="1" customHeight="1" x14ac:dyDescent="0.2">
      <c r="A259" s="198"/>
      <c r="B259" s="199"/>
      <c r="C259" s="219"/>
      <c r="D259" s="232" t="s">
        <v>257</v>
      </c>
      <c r="E259" s="200"/>
      <c r="F259" s="343"/>
      <c r="G259" s="200"/>
      <c r="H259" s="296"/>
    </row>
    <row r="260" spans="1:9" s="260" customFormat="1" ht="12.75" hidden="1" customHeight="1" x14ac:dyDescent="0.2">
      <c r="A260" s="198"/>
      <c r="B260" s="199"/>
      <c r="C260" s="219"/>
      <c r="D260" s="232" t="s">
        <v>352</v>
      </c>
      <c r="E260" s="200"/>
      <c r="F260" s="343"/>
      <c r="G260" s="200"/>
      <c r="H260" s="296"/>
      <c r="I260" s="333"/>
    </row>
    <row r="261" spans="1:9" s="260" customFormat="1" ht="12.75" hidden="1" customHeight="1" x14ac:dyDescent="0.2">
      <c r="A261" s="198"/>
      <c r="B261" s="199"/>
      <c r="C261" s="219"/>
      <c r="D261" s="232" t="s">
        <v>388</v>
      </c>
      <c r="E261" s="200"/>
      <c r="F261" s="343"/>
      <c r="G261" s="200"/>
      <c r="H261" s="296"/>
      <c r="I261" s="338"/>
    </row>
    <row r="262" spans="1:9" s="260" customFormat="1" ht="12.75" hidden="1" customHeight="1" x14ac:dyDescent="0.2">
      <c r="A262" s="198"/>
      <c r="B262" s="199"/>
      <c r="C262" s="219"/>
      <c r="D262" s="232"/>
      <c r="E262" s="200"/>
      <c r="F262" s="343"/>
      <c r="G262" s="200"/>
      <c r="H262" s="296"/>
      <c r="I262" s="333"/>
    </row>
    <row r="263" spans="1:9" s="260" customFormat="1" ht="12.75" customHeight="1" x14ac:dyDescent="0.2">
      <c r="A263" s="194">
        <f>A253+1</f>
        <v>28</v>
      </c>
      <c r="B263" s="195" t="s">
        <v>181</v>
      </c>
      <c r="C263" s="218" t="s">
        <v>201</v>
      </c>
      <c r="D263" s="545" t="str">
        <f>$D$12</f>
        <v>FTE July 2025</v>
      </c>
      <c r="E263" s="197">
        <f>'3961'!I$145</f>
        <v>0</v>
      </c>
      <c r="F263" s="344"/>
      <c r="G263" s="197">
        <f>SUBTOTAL(109,E263:F270)</f>
        <v>0</v>
      </c>
      <c r="H263" s="296"/>
    </row>
    <row r="264" spans="1:9" s="260" customFormat="1" ht="12.75" hidden="1" customHeight="1" x14ac:dyDescent="0.2">
      <c r="A264" s="194"/>
      <c r="B264" s="195"/>
      <c r="C264" s="218"/>
      <c r="D264" s="231" t="s">
        <v>597</v>
      </c>
      <c r="E264" s="197"/>
      <c r="F264" s="344"/>
      <c r="G264" s="197"/>
      <c r="H264" s="296"/>
    </row>
    <row r="265" spans="1:9" s="260" customFormat="1" ht="12.75" hidden="1" customHeight="1" x14ac:dyDescent="0.2">
      <c r="A265" s="194"/>
      <c r="B265" s="195"/>
      <c r="C265" s="218"/>
      <c r="D265" s="354" t="s">
        <v>535</v>
      </c>
      <c r="E265" s="197"/>
      <c r="F265" s="344"/>
      <c r="G265" s="197"/>
      <c r="H265" s="296"/>
      <c r="I265" s="195"/>
    </row>
    <row r="266" spans="1:9" s="260" customFormat="1" ht="12.75" hidden="1" customHeight="1" x14ac:dyDescent="0.2">
      <c r="A266" s="194"/>
      <c r="B266" s="195"/>
      <c r="C266" s="218"/>
      <c r="D266" s="231" t="s">
        <v>280</v>
      </c>
      <c r="E266" s="197"/>
      <c r="F266" s="344"/>
      <c r="G266" s="197"/>
      <c r="H266" s="296"/>
    </row>
    <row r="267" spans="1:9" s="260" customFormat="1" ht="12.75" hidden="1" customHeight="1" x14ac:dyDescent="0.2">
      <c r="A267" s="194"/>
      <c r="B267" s="195"/>
      <c r="C267" s="218"/>
      <c r="D267" s="231" t="s">
        <v>279</v>
      </c>
      <c r="E267" s="197"/>
      <c r="F267" s="344"/>
      <c r="G267" s="197"/>
      <c r="H267" s="296"/>
    </row>
    <row r="268" spans="1:9" s="260" customFormat="1" ht="12.75" hidden="1" customHeight="1" x14ac:dyDescent="0.2">
      <c r="A268" s="194"/>
      <c r="B268" s="195"/>
      <c r="C268" s="218"/>
      <c r="D268" s="231" t="s">
        <v>288</v>
      </c>
      <c r="E268" s="197"/>
      <c r="F268" s="344"/>
      <c r="G268" s="197"/>
      <c r="H268" s="296"/>
    </row>
    <row r="269" spans="1:9" s="260" customFormat="1" ht="12.75" hidden="1" customHeight="1" x14ac:dyDescent="0.2">
      <c r="A269" s="194"/>
      <c r="B269" s="195"/>
      <c r="C269" s="218"/>
      <c r="D269" s="231" t="s">
        <v>257</v>
      </c>
      <c r="E269" s="197"/>
      <c r="F269" s="344"/>
      <c r="G269" s="197"/>
      <c r="H269" s="259"/>
      <c r="I269" s="333"/>
    </row>
    <row r="270" spans="1:9" s="260" customFormat="1" ht="12.75" hidden="1" customHeight="1" x14ac:dyDescent="0.2">
      <c r="A270" s="194"/>
      <c r="B270" s="195"/>
      <c r="C270" s="230"/>
      <c r="D270" s="276" t="s">
        <v>389</v>
      </c>
      <c r="E270" s="197"/>
      <c r="F270" s="344"/>
      <c r="G270" s="197"/>
      <c r="H270" s="259"/>
      <c r="I270" s="333"/>
    </row>
    <row r="271" spans="1:9" s="260" customFormat="1" ht="12.75" customHeight="1" x14ac:dyDescent="0.2">
      <c r="A271" s="198">
        <f>A263+1</f>
        <v>29</v>
      </c>
      <c r="B271" s="199" t="s">
        <v>182</v>
      </c>
      <c r="C271" s="219" t="s">
        <v>353</v>
      </c>
      <c r="D271" s="277" t="str">
        <f>$D$12</f>
        <v>FTE July 2025</v>
      </c>
      <c r="E271" s="200">
        <f>'3971'!I$145</f>
        <v>418200.93</v>
      </c>
      <c r="F271" s="343"/>
      <c r="G271" s="200">
        <f>SUBTOTAL(109,E271:F278)</f>
        <v>418200.93</v>
      </c>
      <c r="H271" s="259"/>
      <c r="I271" s="333"/>
    </row>
    <row r="272" spans="1:9" s="260" customFormat="1" ht="12.75" hidden="1" customHeight="1" x14ac:dyDescent="0.2">
      <c r="A272" s="198"/>
      <c r="B272" s="199"/>
      <c r="C272" s="219"/>
      <c r="D272" s="232" t="s">
        <v>278</v>
      </c>
      <c r="E272" s="200"/>
      <c r="F272" s="343"/>
      <c r="G272" s="200"/>
      <c r="H272" s="296"/>
    </row>
    <row r="273" spans="1:9" s="260" customFormat="1" ht="12.75" hidden="1" customHeight="1" x14ac:dyDescent="0.2">
      <c r="A273" s="198"/>
      <c r="B273" s="199"/>
      <c r="C273" s="219"/>
      <c r="D273" s="421" t="s">
        <v>535</v>
      </c>
      <c r="E273" s="200"/>
      <c r="F273" s="343"/>
      <c r="G273" s="200"/>
      <c r="H273" s="296"/>
    </row>
    <row r="274" spans="1:9" s="260" customFormat="1" ht="12.75" hidden="1" customHeight="1" x14ac:dyDescent="0.2">
      <c r="A274" s="198"/>
      <c r="B274" s="199"/>
      <c r="C274" s="219"/>
      <c r="D274" s="232" t="s">
        <v>280</v>
      </c>
      <c r="E274" s="200"/>
      <c r="F274" s="343"/>
      <c r="G274" s="200"/>
      <c r="H274" s="296"/>
    </row>
    <row r="275" spans="1:9" s="260" customFormat="1" ht="12.75" hidden="1" customHeight="1" x14ac:dyDescent="0.2">
      <c r="A275" s="198"/>
      <c r="B275" s="199"/>
      <c r="C275" s="219"/>
      <c r="D275" s="232" t="s">
        <v>279</v>
      </c>
      <c r="E275" s="200"/>
      <c r="F275" s="343"/>
      <c r="G275" s="200"/>
      <c r="H275" s="296"/>
      <c r="I275" s="195"/>
    </row>
    <row r="276" spans="1:9" s="260" customFormat="1" ht="12.75" hidden="1" customHeight="1" x14ac:dyDescent="0.2">
      <c r="A276" s="198"/>
      <c r="B276" s="199"/>
      <c r="C276" s="219"/>
      <c r="D276" s="232" t="s">
        <v>288</v>
      </c>
      <c r="E276" s="200"/>
      <c r="F276" s="343"/>
      <c r="G276" s="200"/>
      <c r="H276" s="296"/>
    </row>
    <row r="277" spans="1:9" s="260" customFormat="1" ht="12.75" hidden="1" customHeight="1" x14ac:dyDescent="0.2">
      <c r="A277" s="198"/>
      <c r="B277" s="199"/>
      <c r="C277" s="219"/>
      <c r="D277" s="232" t="s">
        <v>257</v>
      </c>
      <c r="E277" s="200"/>
      <c r="F277" s="343"/>
      <c r="G277" s="200"/>
      <c r="H277" s="296"/>
    </row>
    <row r="278" spans="1:9" s="260" customFormat="1" ht="12.75" hidden="1" customHeight="1" x14ac:dyDescent="0.2">
      <c r="A278" s="198"/>
      <c r="B278" s="199"/>
      <c r="C278" s="219"/>
      <c r="D278" s="278" t="s">
        <v>399</v>
      </c>
      <c r="E278" s="200"/>
      <c r="F278" s="343"/>
      <c r="G278" s="200"/>
      <c r="H278" s="296"/>
      <c r="I278" s="188"/>
    </row>
    <row r="279" spans="1:9" s="260" customFormat="1" ht="12.75" customHeight="1" x14ac:dyDescent="0.2">
      <c r="A279" s="194">
        <f>A271+1</f>
        <v>30</v>
      </c>
      <c r="B279" s="195" t="s">
        <v>183</v>
      </c>
      <c r="C279" s="218" t="s">
        <v>219</v>
      </c>
      <c r="D279" s="545" t="str">
        <f>$D$12</f>
        <v>FTE July 2025</v>
      </c>
      <c r="E279" s="409">
        <f>'4001'!I$145</f>
        <v>486040.8</v>
      </c>
      <c r="F279" s="344"/>
      <c r="G279" s="197">
        <f>SUBTOTAL(109,E279:F287)</f>
        <v>486040.8</v>
      </c>
      <c r="H279" s="296"/>
      <c r="I279" s="333"/>
    </row>
    <row r="280" spans="1:9" ht="12.75" hidden="1" customHeight="1" x14ac:dyDescent="0.2">
      <c r="A280" s="194"/>
      <c r="B280" s="195"/>
      <c r="C280" s="218"/>
      <c r="D280" s="231" t="s">
        <v>597</v>
      </c>
      <c r="E280" s="197"/>
      <c r="F280" s="487"/>
      <c r="G280" s="197"/>
      <c r="H280" s="297"/>
      <c r="I280" s="260"/>
    </row>
    <row r="281" spans="1:9" s="260" customFormat="1" ht="12.75" hidden="1" customHeight="1" x14ac:dyDescent="0.2">
      <c r="A281" s="194"/>
      <c r="B281" s="195"/>
      <c r="C281" s="218"/>
      <c r="D281" s="354" t="s">
        <v>535</v>
      </c>
      <c r="E281" s="197"/>
      <c r="F281" s="344"/>
      <c r="G281" s="197"/>
      <c r="H281" s="296"/>
    </row>
    <row r="282" spans="1:9" s="260" customFormat="1" ht="12.75" hidden="1" customHeight="1" x14ac:dyDescent="0.2">
      <c r="A282" s="194"/>
      <c r="B282" s="195"/>
      <c r="C282" s="218"/>
      <c r="D282" s="231" t="s">
        <v>280</v>
      </c>
      <c r="E282" s="197"/>
      <c r="F282" s="344"/>
      <c r="G282" s="197"/>
      <c r="H282" s="296"/>
    </row>
    <row r="283" spans="1:9" s="260" customFormat="1" ht="12.75" hidden="1" customHeight="1" x14ac:dyDescent="0.2">
      <c r="A283" s="194"/>
      <c r="B283" s="195"/>
      <c r="C283" s="218"/>
      <c r="D283" s="231" t="s">
        <v>279</v>
      </c>
      <c r="E283" s="197"/>
      <c r="F283" s="344"/>
      <c r="G283" s="197"/>
      <c r="H283" s="296"/>
      <c r="I283" s="195"/>
    </row>
    <row r="284" spans="1:9" s="260" customFormat="1" ht="12.75" hidden="1" customHeight="1" x14ac:dyDescent="0.2">
      <c r="A284" s="194"/>
      <c r="B284" s="195"/>
      <c r="C284" s="218"/>
      <c r="D284" s="231" t="s">
        <v>288</v>
      </c>
      <c r="E284" s="197"/>
      <c r="F284" s="344"/>
      <c r="G284" s="197"/>
      <c r="H284" s="296"/>
    </row>
    <row r="285" spans="1:9" s="260" customFormat="1" ht="12.75" hidden="1" customHeight="1" x14ac:dyDescent="0.2">
      <c r="A285" s="194"/>
      <c r="B285" s="195"/>
      <c r="C285" s="218"/>
      <c r="D285" s="231" t="s">
        <v>257</v>
      </c>
      <c r="E285" s="197"/>
      <c r="F285" s="344"/>
      <c r="G285" s="197"/>
      <c r="H285" s="296"/>
    </row>
    <row r="286" spans="1:9" s="260" customFormat="1" ht="12.75" hidden="1" customHeight="1" x14ac:dyDescent="0.2">
      <c r="A286" s="194"/>
      <c r="B286" s="195"/>
      <c r="C286" s="218"/>
      <c r="D286" s="231" t="s">
        <v>388</v>
      </c>
      <c r="E286" s="197"/>
      <c r="F286" s="344"/>
      <c r="G286" s="197"/>
      <c r="H286" s="296"/>
    </row>
    <row r="287" spans="1:9" s="260" customFormat="1" ht="12.75" hidden="1" customHeight="1" x14ac:dyDescent="0.2">
      <c r="A287" s="194"/>
      <c r="B287" s="195"/>
      <c r="C287" s="218"/>
      <c r="D287" s="276" t="s">
        <v>359</v>
      </c>
      <c r="E287" s="197"/>
      <c r="F287" s="344"/>
      <c r="G287" s="197"/>
      <c r="H287" s="259"/>
      <c r="I287" s="333"/>
    </row>
    <row r="288" spans="1:9" s="260" customFormat="1" ht="12.75" customHeight="1" x14ac:dyDescent="0.2">
      <c r="A288" s="198">
        <f>A279+1</f>
        <v>31</v>
      </c>
      <c r="B288" s="199">
        <v>4002</v>
      </c>
      <c r="C288" s="219" t="s">
        <v>218</v>
      </c>
      <c r="D288" s="277" t="str">
        <f>$D$12</f>
        <v>FTE July 2025</v>
      </c>
      <c r="E288" s="200">
        <f>'4002'!I$145</f>
        <v>707326.89</v>
      </c>
      <c r="F288" s="343"/>
      <c r="G288" s="200">
        <f>SUBTOTAL(109,E288:F297)</f>
        <v>707326.89</v>
      </c>
      <c r="H288" s="296"/>
    </row>
    <row r="289" spans="1:9" s="260" customFormat="1" ht="12.75" hidden="1" customHeight="1" x14ac:dyDescent="0.2">
      <c r="A289" s="198"/>
      <c r="B289" s="199"/>
      <c r="C289" s="219"/>
      <c r="D289" s="232" t="s">
        <v>278</v>
      </c>
      <c r="E289" s="200"/>
      <c r="F289" s="343"/>
      <c r="G289" s="200"/>
      <c r="H289" s="296"/>
    </row>
    <row r="290" spans="1:9" s="260" customFormat="1" ht="12.75" hidden="1" customHeight="1" x14ac:dyDescent="0.2">
      <c r="A290" s="198"/>
      <c r="B290" s="199"/>
      <c r="C290" s="219"/>
      <c r="D290" s="421" t="s">
        <v>535</v>
      </c>
      <c r="E290" s="200"/>
      <c r="F290" s="343"/>
      <c r="G290" s="200"/>
      <c r="H290" s="296"/>
    </row>
    <row r="291" spans="1:9" s="260" customFormat="1" ht="12.75" hidden="1" customHeight="1" x14ac:dyDescent="0.2">
      <c r="A291" s="198"/>
      <c r="B291" s="199"/>
      <c r="C291" s="219"/>
      <c r="D291" s="232" t="s">
        <v>280</v>
      </c>
      <c r="E291" s="200"/>
      <c r="F291" s="343"/>
      <c r="G291" s="200"/>
      <c r="H291" s="296"/>
      <c r="I291" s="195"/>
    </row>
    <row r="292" spans="1:9" s="260" customFormat="1" ht="12.75" hidden="1" customHeight="1" x14ac:dyDescent="0.2">
      <c r="A292" s="198"/>
      <c r="B292" s="199"/>
      <c r="C292" s="219"/>
      <c r="D292" s="232" t="s">
        <v>279</v>
      </c>
      <c r="E292" s="200"/>
      <c r="F292" s="343"/>
      <c r="G292" s="200"/>
      <c r="H292" s="296"/>
    </row>
    <row r="293" spans="1:9" s="260" customFormat="1" ht="12.75" hidden="1" customHeight="1" x14ac:dyDescent="0.2">
      <c r="A293" s="198"/>
      <c r="B293" s="199"/>
      <c r="C293" s="219"/>
      <c r="D293" s="232" t="s">
        <v>288</v>
      </c>
      <c r="E293" s="200"/>
      <c r="F293" s="343"/>
      <c r="G293" s="200"/>
      <c r="H293" s="296"/>
    </row>
    <row r="294" spans="1:9" s="260" customFormat="1" ht="12.75" hidden="1" customHeight="1" x14ac:dyDescent="0.2">
      <c r="A294" s="198"/>
      <c r="B294" s="199"/>
      <c r="C294" s="219"/>
      <c r="D294" s="232" t="s">
        <v>257</v>
      </c>
      <c r="E294" s="200"/>
      <c r="F294" s="343"/>
      <c r="G294" s="200"/>
      <c r="H294" s="296"/>
    </row>
    <row r="295" spans="1:9" s="260" customFormat="1" ht="12.75" hidden="1" customHeight="1" x14ac:dyDescent="0.2">
      <c r="A295" s="198"/>
      <c r="B295" s="199"/>
      <c r="C295" s="219"/>
      <c r="D295" s="232" t="s">
        <v>387</v>
      </c>
      <c r="E295" s="200"/>
      <c r="F295" s="343"/>
      <c r="G295" s="200"/>
      <c r="H295" s="259"/>
      <c r="I295" s="333"/>
    </row>
    <row r="296" spans="1:9" s="260" customFormat="1" ht="12.75" hidden="1" customHeight="1" x14ac:dyDescent="0.2">
      <c r="A296" s="198"/>
      <c r="B296" s="199"/>
      <c r="C296" s="219"/>
      <c r="D296" s="232" t="s">
        <v>388</v>
      </c>
      <c r="E296" s="200"/>
      <c r="F296" s="343"/>
      <c r="G296" s="200"/>
      <c r="H296" s="296"/>
      <c r="I296" s="333"/>
    </row>
    <row r="297" spans="1:9" s="260" customFormat="1" ht="12.75" hidden="1" customHeight="1" x14ac:dyDescent="0.2">
      <c r="A297" s="198"/>
      <c r="B297" s="199"/>
      <c r="C297" s="219"/>
      <c r="D297" s="232" t="s">
        <v>380</v>
      </c>
      <c r="E297" s="200"/>
      <c r="F297" s="343"/>
      <c r="G297" s="200"/>
      <c r="H297" s="296"/>
    </row>
    <row r="298" spans="1:9" s="260" customFormat="1" ht="12.75" customHeight="1" x14ac:dyDescent="0.2">
      <c r="A298" s="194">
        <f>A288+1</f>
        <v>32</v>
      </c>
      <c r="B298" s="195">
        <v>4012</v>
      </c>
      <c r="C298" s="218" t="s">
        <v>221</v>
      </c>
      <c r="D298" s="545" t="str">
        <f>$D$12</f>
        <v>FTE July 2025</v>
      </c>
      <c r="E298" s="197">
        <f>'4012'!I$145</f>
        <v>401311.12</v>
      </c>
      <c r="F298" s="344"/>
      <c r="G298" s="197">
        <f>SUBTOTAL(109,E298:F305)</f>
        <v>401311.12</v>
      </c>
      <c r="H298" s="296"/>
    </row>
    <row r="299" spans="1:9" s="260" customFormat="1" ht="12.75" hidden="1" customHeight="1" x14ac:dyDescent="0.2">
      <c r="A299" s="194"/>
      <c r="B299" s="195"/>
      <c r="C299" s="218"/>
      <c r="D299" s="231" t="s">
        <v>597</v>
      </c>
      <c r="E299" s="197"/>
      <c r="F299" s="344"/>
      <c r="G299" s="197"/>
      <c r="H299" s="296"/>
    </row>
    <row r="300" spans="1:9" s="260" customFormat="1" ht="12.75" hidden="1" customHeight="1" x14ac:dyDescent="0.2">
      <c r="A300" s="194"/>
      <c r="B300" s="195"/>
      <c r="C300" s="218"/>
      <c r="D300" s="231" t="s">
        <v>535</v>
      </c>
      <c r="E300" s="197"/>
      <c r="F300" s="344"/>
      <c r="G300" s="197"/>
      <c r="H300" s="296"/>
      <c r="I300" s="195"/>
    </row>
    <row r="301" spans="1:9" s="260" customFormat="1" ht="12.75" hidden="1" customHeight="1" x14ac:dyDescent="0.2">
      <c r="A301" s="194"/>
      <c r="B301" s="195"/>
      <c r="C301" s="218"/>
      <c r="D301" s="231" t="s">
        <v>378</v>
      </c>
      <c r="E301" s="197"/>
      <c r="F301" s="344"/>
      <c r="G301" s="197"/>
      <c r="H301" s="296"/>
    </row>
    <row r="302" spans="1:9" s="260" customFormat="1" ht="12.75" hidden="1" customHeight="1" x14ac:dyDescent="0.2">
      <c r="A302" s="194"/>
      <c r="B302" s="195"/>
      <c r="C302" s="218"/>
      <c r="D302" s="231" t="s">
        <v>288</v>
      </c>
      <c r="E302" s="197"/>
      <c r="F302" s="344"/>
      <c r="G302" s="197"/>
      <c r="H302" s="296"/>
    </row>
    <row r="303" spans="1:9" s="260" customFormat="1" ht="12.75" hidden="1" customHeight="1" x14ac:dyDescent="0.2">
      <c r="A303" s="194"/>
      <c r="B303" s="195"/>
      <c r="C303" s="218"/>
      <c r="D303" s="231" t="s">
        <v>257</v>
      </c>
      <c r="E303" s="197"/>
      <c r="F303" s="344"/>
      <c r="G303" s="197"/>
      <c r="H303" s="296"/>
    </row>
    <row r="304" spans="1:9" s="260" customFormat="1" ht="12.75" hidden="1" customHeight="1" x14ac:dyDescent="0.2">
      <c r="A304" s="194"/>
      <c r="B304" s="195"/>
      <c r="C304" s="218"/>
      <c r="D304" s="231" t="s">
        <v>302</v>
      </c>
      <c r="E304" s="197"/>
      <c r="F304" s="344"/>
      <c r="G304" s="197"/>
      <c r="H304" s="296"/>
    </row>
    <row r="305" spans="1:9" s="260" customFormat="1" ht="12.75" hidden="1" customHeight="1" x14ac:dyDescent="0.2">
      <c r="A305" s="194"/>
      <c r="B305" s="195"/>
      <c r="C305" s="218"/>
      <c r="D305" s="276" t="s">
        <v>359</v>
      </c>
      <c r="E305" s="197"/>
      <c r="F305" s="344"/>
      <c r="G305" s="197"/>
      <c r="H305" s="296"/>
      <c r="I305" s="335"/>
    </row>
    <row r="306" spans="1:9" s="260" customFormat="1" ht="12.75" customHeight="1" x14ac:dyDescent="0.2">
      <c r="A306" s="198">
        <f>A298+1</f>
        <v>33</v>
      </c>
      <c r="B306" s="199">
        <v>4013</v>
      </c>
      <c r="C306" s="219" t="s">
        <v>223</v>
      </c>
      <c r="D306" s="277" t="str">
        <f>$D$12</f>
        <v>FTE July 2025</v>
      </c>
      <c r="E306" s="200">
        <f>'4013'!I$145</f>
        <v>667648.91</v>
      </c>
      <c r="F306" s="343"/>
      <c r="G306" s="200">
        <f>SUBTOTAL(109,E306:F314)</f>
        <v>667648.91</v>
      </c>
      <c r="H306" s="296"/>
      <c r="I306" s="335"/>
    </row>
    <row r="307" spans="1:9" s="260" customFormat="1" ht="12.75" hidden="1" customHeight="1" x14ac:dyDescent="0.2">
      <c r="A307" s="198"/>
      <c r="B307" s="199"/>
      <c r="C307" s="219"/>
      <c r="D307" s="232" t="s">
        <v>278</v>
      </c>
      <c r="E307" s="200"/>
      <c r="F307" s="343"/>
      <c r="G307" s="200"/>
      <c r="H307" s="296"/>
    </row>
    <row r="308" spans="1:9" s="260" customFormat="1" ht="12.75" hidden="1" customHeight="1" x14ac:dyDescent="0.2">
      <c r="A308" s="198"/>
      <c r="B308" s="199"/>
      <c r="C308" s="219"/>
      <c r="D308" s="421" t="s">
        <v>535</v>
      </c>
      <c r="E308" s="200"/>
      <c r="F308" s="343"/>
      <c r="G308" s="200"/>
      <c r="H308" s="296"/>
    </row>
    <row r="309" spans="1:9" s="260" customFormat="1" ht="12.75" hidden="1" customHeight="1" x14ac:dyDescent="0.2">
      <c r="A309" s="198"/>
      <c r="B309" s="199"/>
      <c r="C309" s="219"/>
      <c r="D309" s="232" t="s">
        <v>280</v>
      </c>
      <c r="E309" s="200"/>
      <c r="F309" s="343"/>
      <c r="G309" s="200"/>
      <c r="H309" s="296"/>
    </row>
    <row r="310" spans="1:9" s="260" customFormat="1" ht="12.75" hidden="1" customHeight="1" x14ac:dyDescent="0.2">
      <c r="A310" s="198"/>
      <c r="B310" s="199"/>
      <c r="C310" s="219"/>
      <c r="D310" s="232" t="s">
        <v>378</v>
      </c>
      <c r="E310" s="200"/>
      <c r="F310" s="343"/>
      <c r="G310" s="200"/>
      <c r="H310" s="296"/>
    </row>
    <row r="311" spans="1:9" s="260" customFormat="1" ht="12.75" hidden="1" customHeight="1" x14ac:dyDescent="0.2">
      <c r="A311" s="198"/>
      <c r="B311" s="199"/>
      <c r="C311" s="219"/>
      <c r="D311" s="232" t="s">
        <v>288</v>
      </c>
      <c r="E311" s="200"/>
      <c r="F311" s="343"/>
      <c r="G311" s="200"/>
      <c r="H311" s="296"/>
    </row>
    <row r="312" spans="1:9" s="260" customFormat="1" ht="12.75" hidden="1" customHeight="1" x14ac:dyDescent="0.2">
      <c r="A312" s="198"/>
      <c r="B312" s="199"/>
      <c r="C312" s="219"/>
      <c r="D312" s="232" t="s">
        <v>257</v>
      </c>
      <c r="E312" s="200"/>
      <c r="F312" s="343"/>
      <c r="G312" s="200"/>
      <c r="H312" s="296"/>
    </row>
    <row r="313" spans="1:9" s="260" customFormat="1" ht="12.75" hidden="1" customHeight="1" x14ac:dyDescent="0.2">
      <c r="A313" s="198"/>
      <c r="B313" s="199"/>
      <c r="C313" s="219"/>
      <c r="D313" s="232" t="s">
        <v>388</v>
      </c>
      <c r="E313" s="200"/>
      <c r="F313" s="343"/>
      <c r="G313" s="200"/>
      <c r="H313" s="259"/>
      <c r="I313" s="333"/>
    </row>
    <row r="314" spans="1:9" s="260" customFormat="1" ht="12.75" hidden="1" customHeight="1" x14ac:dyDescent="0.2">
      <c r="A314" s="198"/>
      <c r="B314" s="199"/>
      <c r="C314" s="219"/>
      <c r="D314" s="232" t="s">
        <v>359</v>
      </c>
      <c r="E314" s="200"/>
      <c r="F314" s="343"/>
      <c r="G314" s="200"/>
      <c r="H314" s="296"/>
      <c r="I314" s="306"/>
    </row>
    <row r="315" spans="1:9" s="260" customFormat="1" ht="12.75" customHeight="1" x14ac:dyDescent="0.2">
      <c r="A315" s="194">
        <f>A306+1</f>
        <v>34</v>
      </c>
      <c r="B315" s="195">
        <v>4020</v>
      </c>
      <c r="C315" s="261" t="s">
        <v>364</v>
      </c>
      <c r="D315" s="545" t="str">
        <f>$D$12</f>
        <v>FTE July 2025</v>
      </c>
      <c r="E315" s="197">
        <f>'4020'!I$145</f>
        <v>892802.19</v>
      </c>
      <c r="F315" s="344"/>
      <c r="G315" s="197">
        <f>SUBTOTAL(109,E315:F323)</f>
        <v>892802.19</v>
      </c>
      <c r="H315" s="296"/>
      <c r="I315" s="306"/>
    </row>
    <row r="316" spans="1:9" s="260" customFormat="1" ht="12.75" hidden="1" customHeight="1" x14ac:dyDescent="0.2">
      <c r="A316" s="194"/>
      <c r="B316" s="195"/>
      <c r="C316" s="218"/>
      <c r="D316" s="231" t="s">
        <v>597</v>
      </c>
      <c r="E316" s="197"/>
      <c r="F316" s="344"/>
      <c r="G316" s="197"/>
      <c r="H316" s="296"/>
    </row>
    <row r="317" spans="1:9" s="260" customFormat="1" ht="12.75" hidden="1" customHeight="1" x14ac:dyDescent="0.2">
      <c r="A317" s="194"/>
      <c r="B317" s="195"/>
      <c r="C317" s="218"/>
      <c r="D317" s="354" t="s">
        <v>535</v>
      </c>
      <c r="E317" s="197"/>
      <c r="F317" s="344"/>
      <c r="G317" s="197"/>
      <c r="H317" s="296"/>
    </row>
    <row r="318" spans="1:9" s="260" customFormat="1" ht="12.75" hidden="1" customHeight="1" x14ac:dyDescent="0.2">
      <c r="A318" s="194"/>
      <c r="B318" s="195"/>
      <c r="C318" s="218"/>
      <c r="D318" s="231" t="s">
        <v>280</v>
      </c>
      <c r="E318" s="197"/>
      <c r="F318" s="344"/>
      <c r="G318" s="197"/>
      <c r="H318" s="296"/>
      <c r="I318" s="195"/>
    </row>
    <row r="319" spans="1:9" s="260" customFormat="1" ht="12.75" hidden="1" customHeight="1" x14ac:dyDescent="0.2">
      <c r="A319" s="194"/>
      <c r="B319" s="195"/>
      <c r="C319" s="218"/>
      <c r="D319" s="231" t="s">
        <v>378</v>
      </c>
      <c r="E319" s="197"/>
      <c r="F319" s="344"/>
      <c r="G319" s="197"/>
      <c r="H319" s="296"/>
    </row>
    <row r="320" spans="1:9" s="260" customFormat="1" ht="12.75" hidden="1" customHeight="1" x14ac:dyDescent="0.2">
      <c r="A320" s="194"/>
      <c r="B320" s="195"/>
      <c r="C320" s="218"/>
      <c r="D320" s="231" t="s">
        <v>288</v>
      </c>
      <c r="E320" s="197"/>
      <c r="F320" s="344"/>
      <c r="G320" s="197"/>
      <c r="H320" s="296"/>
    </row>
    <row r="321" spans="1:9" s="260" customFormat="1" ht="12.75" hidden="1" customHeight="1" x14ac:dyDescent="0.2">
      <c r="A321" s="194"/>
      <c r="B321" s="195"/>
      <c r="C321" s="218"/>
      <c r="D321" s="231" t="s">
        <v>257</v>
      </c>
      <c r="E321" s="197"/>
      <c r="F321" s="344"/>
      <c r="G321" s="197"/>
      <c r="H321" s="296"/>
    </row>
    <row r="322" spans="1:9" s="260" customFormat="1" ht="12.75" hidden="1" customHeight="1" x14ac:dyDescent="0.2">
      <c r="A322" s="194"/>
      <c r="B322" s="195"/>
      <c r="C322" s="218"/>
      <c r="D322" s="231" t="s">
        <v>387</v>
      </c>
      <c r="E322" s="197"/>
      <c r="F322" s="344"/>
      <c r="G322" s="197"/>
      <c r="H322" s="296"/>
    </row>
    <row r="323" spans="1:9" s="260" customFormat="1" ht="12.75" hidden="1" customHeight="1" x14ac:dyDescent="0.2">
      <c r="A323" s="194"/>
      <c r="B323" s="195"/>
      <c r="C323" s="218"/>
      <c r="D323" s="276" t="s">
        <v>359</v>
      </c>
      <c r="E323" s="197"/>
      <c r="F323" s="344"/>
      <c r="G323" s="197"/>
      <c r="H323" s="296"/>
      <c r="I323" s="335"/>
    </row>
    <row r="324" spans="1:9" s="260" customFormat="1" ht="12.75" customHeight="1" x14ac:dyDescent="0.2">
      <c r="A324" s="198">
        <f>A315+1</f>
        <v>35</v>
      </c>
      <c r="B324" s="199">
        <v>4030</v>
      </c>
      <c r="C324" s="219" t="s">
        <v>348</v>
      </c>
      <c r="D324" s="277" t="str">
        <f>$D$12</f>
        <v>FTE July 2025</v>
      </c>
      <c r="E324" s="200">
        <f>'4030'!I$145</f>
        <v>216879.02</v>
      </c>
      <c r="F324" s="343"/>
      <c r="G324" s="200">
        <f>SUBTOTAL(109,E324:F333)</f>
        <v>213098.97</v>
      </c>
      <c r="H324" s="296"/>
    </row>
    <row r="325" spans="1:9" s="260" customFormat="1" ht="12.75" hidden="1" customHeight="1" x14ac:dyDescent="0.2">
      <c r="A325" s="198"/>
      <c r="B325" s="199"/>
      <c r="C325" s="219"/>
      <c r="D325" s="232" t="s">
        <v>278</v>
      </c>
      <c r="E325" s="200"/>
      <c r="F325" s="343"/>
      <c r="G325" s="200"/>
      <c r="H325" s="296"/>
    </row>
    <row r="326" spans="1:9" s="260" customFormat="1" ht="12.75" hidden="1" customHeight="1" x14ac:dyDescent="0.2">
      <c r="A326" s="198"/>
      <c r="B326" s="199"/>
      <c r="C326" s="219"/>
      <c r="D326" s="421" t="s">
        <v>535</v>
      </c>
      <c r="E326" s="200"/>
      <c r="F326" s="343"/>
      <c r="G326" s="200"/>
      <c r="H326" s="296"/>
    </row>
    <row r="327" spans="1:9" s="260" customFormat="1" ht="12.75" hidden="1" customHeight="1" x14ac:dyDescent="0.2">
      <c r="A327" s="198"/>
      <c r="B327" s="199"/>
      <c r="C327" s="219"/>
      <c r="D327" s="421" t="s">
        <v>395</v>
      </c>
      <c r="E327" s="200"/>
      <c r="F327" s="343"/>
      <c r="G327" s="200"/>
      <c r="H327" s="296"/>
      <c r="I327" s="195"/>
    </row>
    <row r="328" spans="1:9" s="260" customFormat="1" ht="12.75" customHeight="1" x14ac:dyDescent="0.2">
      <c r="A328" s="198"/>
      <c r="B328" s="199"/>
      <c r="C328" s="219"/>
      <c r="D328" s="219" t="s">
        <v>624</v>
      </c>
      <c r="E328" s="200"/>
      <c r="F328" s="343">
        <v>-3780.05</v>
      </c>
      <c r="G328" s="200"/>
      <c r="H328" s="296"/>
    </row>
    <row r="329" spans="1:9" s="260" customFormat="1" ht="12.75" hidden="1" customHeight="1" x14ac:dyDescent="0.2">
      <c r="A329" s="198"/>
      <c r="B329" s="199"/>
      <c r="C329" s="219"/>
      <c r="D329" s="232" t="s">
        <v>279</v>
      </c>
      <c r="E329" s="200"/>
      <c r="F329" s="343"/>
      <c r="G329" s="200"/>
      <c r="H329" s="296"/>
    </row>
    <row r="330" spans="1:9" s="260" customFormat="1" ht="12.75" hidden="1" customHeight="1" x14ac:dyDescent="0.2">
      <c r="A330" s="198"/>
      <c r="B330" s="199"/>
      <c r="C330" s="219"/>
      <c r="D330" s="232" t="s">
        <v>288</v>
      </c>
      <c r="E330" s="200"/>
      <c r="F330" s="343"/>
      <c r="G330" s="200"/>
      <c r="H330" s="296"/>
    </row>
    <row r="331" spans="1:9" s="260" customFormat="1" ht="12.75" hidden="1" customHeight="1" x14ac:dyDescent="0.2">
      <c r="A331" s="198"/>
      <c r="B331" s="199"/>
      <c r="C331" s="219"/>
      <c r="D331" s="232" t="s">
        <v>257</v>
      </c>
      <c r="E331" s="200"/>
      <c r="F331" s="343"/>
      <c r="G331" s="200"/>
      <c r="H331" s="259"/>
      <c r="I331" s="333"/>
    </row>
    <row r="332" spans="1:9" s="260" customFormat="1" ht="12.75" hidden="1" customHeight="1" x14ac:dyDescent="0.2">
      <c r="A332" s="198"/>
      <c r="B332" s="199"/>
      <c r="C332" s="219"/>
      <c r="D332" s="232" t="s">
        <v>388</v>
      </c>
      <c r="E332" s="200"/>
      <c r="F332" s="343"/>
      <c r="G332" s="200"/>
      <c r="H332" s="296"/>
      <c r="I332" s="335"/>
    </row>
    <row r="333" spans="1:9" s="260" customFormat="1" ht="12.75" hidden="1" customHeight="1" x14ac:dyDescent="0.2">
      <c r="A333" s="198"/>
      <c r="B333" s="199"/>
      <c r="C333" s="219"/>
      <c r="D333" s="232" t="s">
        <v>359</v>
      </c>
      <c r="E333" s="200"/>
      <c r="F333" s="343"/>
      <c r="G333" s="200"/>
      <c r="H333" s="296"/>
    </row>
    <row r="334" spans="1:9" s="260" customFormat="1" ht="12.75" customHeight="1" x14ac:dyDescent="0.2">
      <c r="A334" s="194">
        <f>A324+1</f>
        <v>36</v>
      </c>
      <c r="B334" s="195">
        <v>4031</v>
      </c>
      <c r="C334" s="261" t="s">
        <v>376</v>
      </c>
      <c r="D334" s="545" t="str">
        <f>$D$12</f>
        <v>FTE July 2025</v>
      </c>
      <c r="E334" s="197">
        <f>'4031'!I$145</f>
        <v>322483.34000000003</v>
      </c>
      <c r="F334" s="344"/>
      <c r="G334" s="197">
        <f>SUBTOTAL(109,E334:F343)</f>
        <v>322483.34000000003</v>
      </c>
      <c r="H334" s="296"/>
    </row>
    <row r="335" spans="1:9" s="260" customFormat="1" ht="12.75" hidden="1" customHeight="1" x14ac:dyDescent="0.2">
      <c r="A335" s="194"/>
      <c r="B335" s="195"/>
      <c r="C335" s="218"/>
      <c r="D335" s="231" t="s">
        <v>597</v>
      </c>
      <c r="E335" s="197"/>
      <c r="F335" s="344"/>
      <c r="G335" s="197"/>
      <c r="H335" s="296"/>
    </row>
    <row r="336" spans="1:9" s="260" customFormat="1" ht="12.75" hidden="1" customHeight="1" x14ac:dyDescent="0.2">
      <c r="A336" s="194"/>
      <c r="B336" s="195"/>
      <c r="C336" s="218"/>
      <c r="D336" s="354" t="s">
        <v>535</v>
      </c>
      <c r="E336" s="197"/>
      <c r="F336" s="344"/>
      <c r="G336" s="197"/>
      <c r="H336" s="296"/>
      <c r="I336" s="195"/>
    </row>
    <row r="337" spans="1:9" s="260" customFormat="1" ht="12.75" hidden="1" customHeight="1" x14ac:dyDescent="0.2">
      <c r="A337" s="194"/>
      <c r="B337" s="195"/>
      <c r="C337" s="218"/>
      <c r="D337" s="354" t="s">
        <v>395</v>
      </c>
      <c r="E337" s="197"/>
      <c r="F337" s="344"/>
      <c r="G337" s="197"/>
      <c r="H337" s="296"/>
      <c r="I337" s="195"/>
    </row>
    <row r="338" spans="1:9" s="260" customFormat="1" ht="12.75" hidden="1" customHeight="1" x14ac:dyDescent="0.2">
      <c r="A338" s="194"/>
      <c r="B338" s="195"/>
      <c r="C338" s="218"/>
      <c r="D338" s="231" t="s">
        <v>280</v>
      </c>
      <c r="E338" s="197"/>
      <c r="F338" s="344"/>
      <c r="G338" s="197"/>
      <c r="H338" s="296"/>
    </row>
    <row r="339" spans="1:9" s="260" customFormat="1" ht="12.75" hidden="1" customHeight="1" x14ac:dyDescent="0.2">
      <c r="A339" s="194"/>
      <c r="B339" s="195"/>
      <c r="C339" s="218"/>
      <c r="D339" s="231" t="s">
        <v>279</v>
      </c>
      <c r="E339" s="197"/>
      <c r="F339" s="344"/>
      <c r="G339" s="197"/>
      <c r="H339" s="296"/>
    </row>
    <row r="340" spans="1:9" s="260" customFormat="1" ht="12.75" hidden="1" customHeight="1" x14ac:dyDescent="0.2">
      <c r="A340" s="194"/>
      <c r="B340" s="195"/>
      <c r="C340" s="218"/>
      <c r="D340" s="231" t="s">
        <v>288</v>
      </c>
      <c r="E340" s="197"/>
      <c r="F340" s="344"/>
      <c r="G340" s="197"/>
      <c r="H340" s="296"/>
    </row>
    <row r="341" spans="1:9" s="260" customFormat="1" ht="12.75" hidden="1" customHeight="1" x14ac:dyDescent="0.2">
      <c r="A341" s="194"/>
      <c r="B341" s="195"/>
      <c r="C341" s="218"/>
      <c r="D341" s="231" t="s">
        <v>257</v>
      </c>
      <c r="E341" s="197"/>
      <c r="F341" s="344"/>
      <c r="G341" s="197"/>
      <c r="H341" s="296"/>
    </row>
    <row r="342" spans="1:9" s="260" customFormat="1" ht="12.75" hidden="1" customHeight="1" x14ac:dyDescent="0.2">
      <c r="A342" s="194"/>
      <c r="B342" s="195"/>
      <c r="C342" s="218"/>
      <c r="D342" s="231" t="s">
        <v>388</v>
      </c>
      <c r="E342" s="197"/>
      <c r="F342" s="344"/>
      <c r="G342" s="197"/>
      <c r="H342" s="296"/>
      <c r="I342" s="335"/>
    </row>
    <row r="343" spans="1:9" s="260" customFormat="1" ht="12.75" hidden="1" customHeight="1" x14ac:dyDescent="0.2">
      <c r="A343" s="194"/>
      <c r="B343" s="195"/>
      <c r="C343" s="218"/>
      <c r="D343" s="276" t="s">
        <v>359</v>
      </c>
      <c r="E343" s="197"/>
      <c r="F343" s="344"/>
      <c r="G343" s="197"/>
      <c r="H343" s="296"/>
    </row>
    <row r="344" spans="1:9" s="260" customFormat="1" ht="12.75" customHeight="1" x14ac:dyDescent="0.2">
      <c r="A344" s="198">
        <f>A334+1</f>
        <v>37</v>
      </c>
      <c r="B344" s="199">
        <v>4041</v>
      </c>
      <c r="C344" s="219" t="s">
        <v>225</v>
      </c>
      <c r="D344" s="277" t="str">
        <f>$D$12</f>
        <v>FTE July 2025</v>
      </c>
      <c r="E344" s="200">
        <f>'4041'!I$145</f>
        <v>63488.77</v>
      </c>
      <c r="F344" s="343"/>
      <c r="G344" s="200">
        <f>SUBTOTAL(109,E344:F354)</f>
        <v>63488.77</v>
      </c>
      <c r="H344" s="296"/>
    </row>
    <row r="345" spans="1:9" s="260" customFormat="1" ht="12.75" hidden="1" customHeight="1" x14ac:dyDescent="0.2">
      <c r="A345" s="198"/>
      <c r="B345" s="199"/>
      <c r="C345" s="219"/>
      <c r="D345" s="232" t="s">
        <v>278</v>
      </c>
      <c r="E345" s="200"/>
      <c r="F345" s="343"/>
      <c r="G345" s="200"/>
      <c r="H345" s="296"/>
    </row>
    <row r="346" spans="1:9" s="260" customFormat="1" ht="12.75" hidden="1" customHeight="1" x14ac:dyDescent="0.2">
      <c r="A346" s="198"/>
      <c r="B346" s="199"/>
      <c r="C346" s="219"/>
      <c r="D346" s="421" t="s">
        <v>535</v>
      </c>
      <c r="E346" s="200"/>
      <c r="F346" s="343"/>
      <c r="G346" s="200"/>
      <c r="H346" s="296"/>
      <c r="I346" s="195"/>
    </row>
    <row r="347" spans="1:9" s="260" customFormat="1" ht="12.75" hidden="1" customHeight="1" x14ac:dyDescent="0.2">
      <c r="A347" s="198"/>
      <c r="B347" s="199"/>
      <c r="C347" s="219"/>
      <c r="D347" s="421" t="s">
        <v>395</v>
      </c>
      <c r="E347" s="200"/>
      <c r="F347" s="343"/>
      <c r="G347" s="200"/>
      <c r="H347" s="296"/>
      <c r="I347" s="195"/>
    </row>
    <row r="348" spans="1:9" s="260" customFormat="1" ht="12.75" hidden="1" customHeight="1" x14ac:dyDescent="0.2">
      <c r="A348" s="198"/>
      <c r="B348" s="199"/>
      <c r="C348" s="219"/>
      <c r="D348" s="232" t="s">
        <v>280</v>
      </c>
      <c r="E348" s="200"/>
      <c r="F348" s="343"/>
      <c r="G348" s="200"/>
      <c r="H348" s="296"/>
    </row>
    <row r="349" spans="1:9" s="260" customFormat="1" ht="12.75" hidden="1" customHeight="1" x14ac:dyDescent="0.2">
      <c r="A349" s="198"/>
      <c r="B349" s="199"/>
      <c r="C349" s="219"/>
      <c r="D349" s="232" t="s">
        <v>279</v>
      </c>
      <c r="E349" s="200"/>
      <c r="F349" s="343"/>
      <c r="G349" s="200"/>
      <c r="H349" s="296"/>
    </row>
    <row r="350" spans="1:9" s="260" customFormat="1" ht="12.75" hidden="1" customHeight="1" x14ac:dyDescent="0.2">
      <c r="A350" s="198"/>
      <c r="B350" s="199"/>
      <c r="C350" s="219"/>
      <c r="D350" s="232" t="s">
        <v>288</v>
      </c>
      <c r="E350" s="200"/>
      <c r="F350" s="343"/>
      <c r="G350" s="200"/>
      <c r="H350" s="296"/>
      <c r="I350" s="195"/>
    </row>
    <row r="351" spans="1:9" s="260" customFormat="1" ht="12.75" hidden="1" customHeight="1" x14ac:dyDescent="0.2">
      <c r="A351" s="198"/>
      <c r="B351" s="199"/>
      <c r="C351" s="219"/>
      <c r="D351" s="232" t="s">
        <v>257</v>
      </c>
      <c r="E351" s="200"/>
      <c r="F351" s="343"/>
      <c r="G351" s="200"/>
      <c r="H351" s="296"/>
      <c r="I351" s="333"/>
    </row>
    <row r="352" spans="1:9" s="260" customFormat="1" ht="12.75" hidden="1" customHeight="1" x14ac:dyDescent="0.2">
      <c r="A352" s="198"/>
      <c r="B352" s="199"/>
      <c r="C352" s="219"/>
      <c r="D352" s="232" t="s">
        <v>302</v>
      </c>
      <c r="E352" s="200"/>
      <c r="F352" s="343"/>
      <c r="G352" s="200"/>
      <c r="H352" s="296"/>
      <c r="I352" s="335"/>
    </row>
    <row r="353" spans="1:9" s="260" customFormat="1" ht="12.75" hidden="1" customHeight="1" x14ac:dyDescent="0.2">
      <c r="A353" s="198"/>
      <c r="B353" s="199"/>
      <c r="C353" s="219"/>
      <c r="D353" s="232" t="s">
        <v>388</v>
      </c>
      <c r="E353" s="200"/>
      <c r="F353" s="343"/>
      <c r="G353" s="200"/>
      <c r="H353" s="296"/>
    </row>
    <row r="354" spans="1:9" s="260" customFormat="1" ht="12.75" hidden="1" customHeight="1" x14ac:dyDescent="0.2">
      <c r="A354" s="198"/>
      <c r="B354" s="199"/>
      <c r="C354" s="219"/>
      <c r="D354" s="232" t="s">
        <v>359</v>
      </c>
      <c r="E354" s="200"/>
      <c r="F354" s="343"/>
      <c r="G354" s="200"/>
      <c r="H354" s="296"/>
    </row>
    <row r="355" spans="1:9" s="260" customFormat="1" ht="12.75" customHeight="1" x14ac:dyDescent="0.2">
      <c r="A355" s="194">
        <f>A344+1</f>
        <v>38</v>
      </c>
      <c r="B355" s="263">
        <v>4050</v>
      </c>
      <c r="C355" s="264" t="s">
        <v>216</v>
      </c>
      <c r="D355" s="545" t="str">
        <f>$D$12</f>
        <v>FTE July 2025</v>
      </c>
      <c r="E355" s="197">
        <f>'4050'!I$145</f>
        <v>512294.34</v>
      </c>
      <c r="F355" s="344"/>
      <c r="G355" s="197">
        <f>SUBTOTAL(109,E355:F361)</f>
        <v>512294.34</v>
      </c>
      <c r="H355" s="296"/>
    </row>
    <row r="356" spans="1:9" s="260" customFormat="1" ht="12.75" hidden="1" customHeight="1" x14ac:dyDescent="0.2">
      <c r="A356" s="194"/>
      <c r="B356" s="263"/>
      <c r="C356" s="264"/>
      <c r="D356" s="231" t="s">
        <v>597</v>
      </c>
      <c r="E356" s="197"/>
      <c r="F356" s="344"/>
      <c r="G356" s="197"/>
      <c r="H356" s="296"/>
      <c r="I356" s="195"/>
    </row>
    <row r="357" spans="1:9" s="260" customFormat="1" ht="12.75" hidden="1" customHeight="1" x14ac:dyDescent="0.2">
      <c r="A357" s="194"/>
      <c r="B357" s="263"/>
      <c r="C357" s="264"/>
      <c r="D357" s="231" t="s">
        <v>535</v>
      </c>
      <c r="E357" s="197"/>
      <c r="F357" s="344"/>
      <c r="G357" s="197"/>
      <c r="H357" s="296"/>
      <c r="I357" s="195"/>
    </row>
    <row r="358" spans="1:9" s="260" customFormat="1" ht="12.75" hidden="1" customHeight="1" x14ac:dyDescent="0.2">
      <c r="A358" s="194"/>
      <c r="B358" s="195"/>
      <c r="C358" s="218"/>
      <c r="D358" s="231" t="s">
        <v>279</v>
      </c>
      <c r="E358" s="197"/>
      <c r="F358" s="344"/>
      <c r="G358" s="197"/>
      <c r="H358" s="296"/>
    </row>
    <row r="359" spans="1:9" s="260" customFormat="1" ht="12.75" hidden="1" customHeight="1" x14ac:dyDescent="0.2">
      <c r="A359" s="194"/>
      <c r="B359" s="195"/>
      <c r="C359" s="218"/>
      <c r="D359" s="231" t="s">
        <v>288</v>
      </c>
      <c r="E359" s="197"/>
      <c r="F359" s="344"/>
      <c r="G359" s="197"/>
      <c r="H359" s="296"/>
    </row>
    <row r="360" spans="1:9" s="260" customFormat="1" ht="12.75" hidden="1" customHeight="1" x14ac:dyDescent="0.2">
      <c r="A360" s="194"/>
      <c r="B360" s="195"/>
      <c r="C360" s="218"/>
      <c r="D360" s="231" t="s">
        <v>257</v>
      </c>
      <c r="E360" s="197"/>
      <c r="F360" s="344"/>
      <c r="G360" s="197"/>
      <c r="H360" s="296"/>
    </row>
    <row r="361" spans="1:9" s="260" customFormat="1" ht="12.75" hidden="1" customHeight="1" x14ac:dyDescent="0.2">
      <c r="A361" s="194"/>
      <c r="B361" s="195"/>
      <c r="C361" s="218"/>
      <c r="D361" s="276" t="s">
        <v>359</v>
      </c>
      <c r="E361" s="197"/>
      <c r="F361" s="344"/>
      <c r="G361" s="197"/>
      <c r="H361" s="296"/>
    </row>
    <row r="362" spans="1:9" s="260" customFormat="1" ht="12.75" customHeight="1" x14ac:dyDescent="0.2">
      <c r="A362" s="198">
        <f>A355+1</f>
        <v>39</v>
      </c>
      <c r="B362" s="199">
        <v>4051</v>
      </c>
      <c r="C362" s="219" t="s">
        <v>214</v>
      </c>
      <c r="D362" s="277" t="str">
        <f>$D$12</f>
        <v>FTE July 2025</v>
      </c>
      <c r="E362" s="200">
        <f>'4051'!I$145</f>
        <v>541173.16</v>
      </c>
      <c r="F362" s="343"/>
      <c r="G362" s="200">
        <f>SUBTOTAL(109,E362:F370)</f>
        <v>541173.16</v>
      </c>
      <c r="H362" s="296"/>
    </row>
    <row r="363" spans="1:9" s="260" customFormat="1" ht="12.75" hidden="1" customHeight="1" x14ac:dyDescent="0.2">
      <c r="A363" s="198"/>
      <c r="B363" s="199"/>
      <c r="C363" s="219"/>
      <c r="D363" s="232" t="s">
        <v>278</v>
      </c>
      <c r="E363" s="200"/>
      <c r="F363" s="343"/>
      <c r="G363" s="200"/>
      <c r="H363" s="296"/>
      <c r="I363" s="335"/>
    </row>
    <row r="364" spans="1:9" s="260" customFormat="1" ht="12.75" hidden="1" customHeight="1" x14ac:dyDescent="0.2">
      <c r="A364" s="198"/>
      <c r="B364" s="199"/>
      <c r="C364" s="219"/>
      <c r="D364" s="232" t="s">
        <v>535</v>
      </c>
      <c r="E364" s="200"/>
      <c r="F364" s="343"/>
      <c r="G364" s="200"/>
      <c r="H364" s="296"/>
    </row>
    <row r="365" spans="1:9" s="260" customFormat="1" ht="12.75" hidden="1" customHeight="1" x14ac:dyDescent="0.2">
      <c r="A365" s="198"/>
      <c r="B365" s="199"/>
      <c r="C365" s="219"/>
      <c r="D365" s="232" t="s">
        <v>279</v>
      </c>
      <c r="E365" s="200"/>
      <c r="F365" s="343"/>
      <c r="G365" s="200"/>
      <c r="H365" s="296"/>
    </row>
    <row r="366" spans="1:9" s="260" customFormat="1" ht="12.75" hidden="1" customHeight="1" x14ac:dyDescent="0.2">
      <c r="A366" s="198"/>
      <c r="B366" s="199"/>
      <c r="C366" s="219"/>
      <c r="D366" s="232" t="s">
        <v>288</v>
      </c>
      <c r="E366" s="200"/>
      <c r="F366" s="343"/>
      <c r="G366" s="200"/>
      <c r="H366" s="296"/>
    </row>
    <row r="367" spans="1:9" s="260" customFormat="1" ht="12.75" hidden="1" customHeight="1" x14ac:dyDescent="0.2">
      <c r="A367" s="198"/>
      <c r="B367" s="199"/>
      <c r="C367" s="219"/>
      <c r="D367" s="232" t="s">
        <v>257</v>
      </c>
      <c r="E367" s="200"/>
      <c r="F367" s="343"/>
      <c r="G367" s="200"/>
      <c r="H367" s="296"/>
    </row>
    <row r="368" spans="1:9" s="260" customFormat="1" ht="12.75" hidden="1" customHeight="1" x14ac:dyDescent="0.2">
      <c r="A368" s="198"/>
      <c r="B368" s="199"/>
      <c r="C368" s="219"/>
      <c r="D368" s="232" t="s">
        <v>302</v>
      </c>
      <c r="E368" s="200"/>
      <c r="F368" s="343"/>
      <c r="G368" s="200"/>
      <c r="H368" s="296"/>
    </row>
    <row r="369" spans="1:9" s="260" customFormat="1" ht="12.75" hidden="1" customHeight="1" x14ac:dyDescent="0.2">
      <c r="A369" s="198"/>
      <c r="B369" s="199"/>
      <c r="C369" s="219"/>
      <c r="D369" s="232" t="s">
        <v>387</v>
      </c>
      <c r="E369" s="200"/>
      <c r="F369" s="343"/>
      <c r="G369" s="200"/>
      <c r="H369" s="296"/>
    </row>
    <row r="370" spans="1:9" s="260" customFormat="1" ht="12.75" hidden="1" customHeight="1" x14ac:dyDescent="0.2">
      <c r="A370" s="198"/>
      <c r="B370" s="199"/>
      <c r="C370" s="219"/>
      <c r="D370" s="232"/>
      <c r="E370" s="200"/>
      <c r="F370" s="343"/>
      <c r="G370" s="200"/>
      <c r="H370" s="296"/>
      <c r="I370" s="333"/>
    </row>
    <row r="371" spans="1:9" s="260" customFormat="1" ht="12.75" customHeight="1" x14ac:dyDescent="0.2">
      <c r="A371" s="194">
        <f>A362+1</f>
        <v>40</v>
      </c>
      <c r="B371" s="263">
        <v>4061</v>
      </c>
      <c r="C371" s="265" t="s">
        <v>366</v>
      </c>
      <c r="D371" s="545" t="str">
        <f>$D$12</f>
        <v>FTE July 2025</v>
      </c>
      <c r="E371" s="197">
        <f>'4061'!I$145</f>
        <v>686342</v>
      </c>
      <c r="F371" s="344"/>
      <c r="G371" s="197">
        <f>SUBTOTAL(109,E371:F379)</f>
        <v>686342</v>
      </c>
      <c r="H371" s="296"/>
    </row>
    <row r="372" spans="1:9" s="260" customFormat="1" ht="12.75" hidden="1" customHeight="1" x14ac:dyDescent="0.2">
      <c r="A372" s="194"/>
      <c r="B372" s="263"/>
      <c r="C372" s="264"/>
      <c r="D372" s="231" t="s">
        <v>597</v>
      </c>
      <c r="E372" s="197"/>
      <c r="F372" s="344"/>
      <c r="G372" s="197"/>
      <c r="H372" s="296"/>
    </row>
    <row r="373" spans="1:9" s="260" customFormat="1" ht="12.75" hidden="1" customHeight="1" x14ac:dyDescent="0.2">
      <c r="A373" s="194"/>
      <c r="B373" s="195"/>
      <c r="C373" s="218"/>
      <c r="D373" s="354" t="s">
        <v>535</v>
      </c>
      <c r="E373" s="197"/>
      <c r="F373" s="344"/>
      <c r="G373" s="197"/>
      <c r="H373" s="296"/>
    </row>
    <row r="374" spans="1:9" s="260" customFormat="1" ht="12.75" hidden="1" customHeight="1" x14ac:dyDescent="0.2">
      <c r="A374" s="194"/>
      <c r="B374" s="263"/>
      <c r="C374" s="264"/>
      <c r="D374" s="231" t="s">
        <v>278</v>
      </c>
      <c r="E374" s="197"/>
      <c r="F374" s="344"/>
      <c r="G374" s="197"/>
      <c r="H374" s="296"/>
    </row>
    <row r="375" spans="1:9" s="260" customFormat="1" ht="12.75" hidden="1" customHeight="1" x14ac:dyDescent="0.2">
      <c r="A375" s="194"/>
      <c r="B375" s="263"/>
      <c r="C375" s="264"/>
      <c r="D375" s="231" t="s">
        <v>280</v>
      </c>
      <c r="E375" s="197"/>
      <c r="F375" s="344"/>
      <c r="G375" s="197"/>
      <c r="H375" s="296"/>
    </row>
    <row r="376" spans="1:9" s="260" customFormat="1" ht="12.75" hidden="1" customHeight="1" x14ac:dyDescent="0.2">
      <c r="A376" s="194"/>
      <c r="B376" s="195"/>
      <c r="C376" s="218"/>
      <c r="D376" s="231" t="s">
        <v>279</v>
      </c>
      <c r="E376" s="197"/>
      <c r="F376" s="344"/>
      <c r="G376" s="197"/>
      <c r="H376" s="296"/>
    </row>
    <row r="377" spans="1:9" s="260" customFormat="1" ht="12.75" hidden="1" customHeight="1" x14ac:dyDescent="0.2">
      <c r="A377" s="194"/>
      <c r="B377" s="195"/>
      <c r="C377" s="218"/>
      <c r="D377" s="231" t="s">
        <v>288</v>
      </c>
      <c r="E377" s="197"/>
      <c r="F377" s="344"/>
      <c r="G377" s="197"/>
      <c r="H377" s="296"/>
    </row>
    <row r="378" spans="1:9" s="260" customFormat="1" ht="12.75" hidden="1" customHeight="1" x14ac:dyDescent="0.2">
      <c r="A378" s="194"/>
      <c r="B378" s="195"/>
      <c r="C378" s="218"/>
      <c r="D378" s="231" t="s">
        <v>257</v>
      </c>
      <c r="E378" s="197"/>
      <c r="F378" s="344"/>
      <c r="G378" s="197"/>
      <c r="H378" s="296"/>
    </row>
    <row r="379" spans="1:9" s="260" customFormat="1" ht="12.75" hidden="1" customHeight="1" x14ac:dyDescent="0.2">
      <c r="A379" s="194"/>
      <c r="B379" s="195"/>
      <c r="C379" s="218"/>
      <c r="D379" s="488" t="s">
        <v>497</v>
      </c>
      <c r="E379" s="487"/>
      <c r="F379" s="344"/>
      <c r="G379" s="197"/>
      <c r="H379" s="296"/>
      <c r="I379" s="335"/>
    </row>
    <row r="380" spans="1:9" s="260" customFormat="1" ht="12.75" customHeight="1" x14ac:dyDescent="0.2">
      <c r="A380" s="198">
        <f>A371+1</f>
        <v>41</v>
      </c>
      <c r="B380" s="199">
        <v>4080</v>
      </c>
      <c r="C380" s="219" t="s">
        <v>237</v>
      </c>
      <c r="D380" s="277" t="str">
        <f>$D$12</f>
        <v>FTE July 2025</v>
      </c>
      <c r="E380" s="200">
        <f>'4080'!I$145</f>
        <v>166059.87</v>
      </c>
      <c r="F380" s="343"/>
      <c r="G380" s="200">
        <f>SUBTOTAL(109,E380:F386)</f>
        <v>166059.87</v>
      </c>
      <c r="H380" s="296"/>
    </row>
    <row r="381" spans="1:9" s="260" customFormat="1" ht="12.75" hidden="1" customHeight="1" x14ac:dyDescent="0.2">
      <c r="A381" s="198"/>
      <c r="B381" s="199"/>
      <c r="C381" s="219"/>
      <c r="D381" s="232" t="s">
        <v>278</v>
      </c>
      <c r="E381" s="200"/>
      <c r="F381" s="343"/>
      <c r="G381" s="200"/>
      <c r="H381" s="296"/>
    </row>
    <row r="382" spans="1:9" s="260" customFormat="1" ht="12.75" hidden="1" customHeight="1" x14ac:dyDescent="0.2">
      <c r="A382" s="198"/>
      <c r="B382" s="199"/>
      <c r="C382" s="219"/>
      <c r="D382" s="232" t="s">
        <v>535</v>
      </c>
      <c r="E382" s="200"/>
      <c r="F382" s="343"/>
      <c r="G382" s="200"/>
      <c r="H382" s="296"/>
    </row>
    <row r="383" spans="1:9" s="260" customFormat="1" ht="12.75" hidden="1" customHeight="1" x14ac:dyDescent="0.2">
      <c r="A383" s="198"/>
      <c r="B383" s="199"/>
      <c r="C383" s="219"/>
      <c r="D383" s="232" t="s">
        <v>279</v>
      </c>
      <c r="E383" s="200"/>
      <c r="F383" s="343"/>
      <c r="G383" s="200"/>
      <c r="H383" s="296"/>
      <c r="I383" s="195"/>
    </row>
    <row r="384" spans="1:9" s="260" customFormat="1" ht="12.75" hidden="1" customHeight="1" x14ac:dyDescent="0.2">
      <c r="A384" s="198"/>
      <c r="B384" s="199"/>
      <c r="C384" s="219"/>
      <c r="D384" s="232" t="s">
        <v>288</v>
      </c>
      <c r="E384" s="200"/>
      <c r="F384" s="343"/>
      <c r="G384" s="200"/>
      <c r="H384" s="296"/>
    </row>
    <row r="385" spans="1:12" s="260" customFormat="1" ht="12.75" hidden="1" customHeight="1" x14ac:dyDescent="0.2">
      <c r="A385" s="198"/>
      <c r="B385" s="199"/>
      <c r="C385" s="219"/>
      <c r="D385" s="232" t="s">
        <v>257</v>
      </c>
      <c r="E385" s="200"/>
      <c r="F385" s="343"/>
      <c r="G385" s="200"/>
      <c r="H385" s="296"/>
    </row>
    <row r="386" spans="1:12" s="260" customFormat="1" ht="12.75" hidden="1" customHeight="1" x14ac:dyDescent="0.2">
      <c r="A386" s="198"/>
      <c r="B386" s="199"/>
      <c r="C386" s="219"/>
      <c r="D386" s="232" t="s">
        <v>359</v>
      </c>
      <c r="E386" s="200"/>
      <c r="F386" s="343"/>
      <c r="G386" s="200"/>
      <c r="H386" s="296"/>
      <c r="I386" s="195"/>
    </row>
    <row r="387" spans="1:12" s="260" customFormat="1" ht="12.75" customHeight="1" x14ac:dyDescent="0.2">
      <c r="A387" s="194">
        <f>1+A380</f>
        <v>42</v>
      </c>
      <c r="B387" s="263">
        <v>4081</v>
      </c>
      <c r="C387" s="265" t="s">
        <v>234</v>
      </c>
      <c r="D387" s="545" t="str">
        <f>$D$12</f>
        <v>FTE July 2025</v>
      </c>
      <c r="E387" s="197">
        <f>'4081'!I$145</f>
        <v>83555.86</v>
      </c>
      <c r="F387" s="344"/>
      <c r="G387" s="197">
        <f>SUBTOTAL(109,E387:F395)</f>
        <v>83555.86</v>
      </c>
      <c r="H387" s="296"/>
    </row>
    <row r="388" spans="1:12" s="260" customFormat="1" ht="12.75" hidden="1" customHeight="1" x14ac:dyDescent="0.2">
      <c r="A388" s="194"/>
      <c r="B388" s="263"/>
      <c r="C388" s="265"/>
      <c r="D388" s="231" t="s">
        <v>597</v>
      </c>
      <c r="E388" s="197"/>
      <c r="F388" s="344"/>
      <c r="G388" s="197"/>
      <c r="H388" s="296"/>
      <c r="I388" s="333"/>
    </row>
    <row r="389" spans="1:12" s="260" customFormat="1" ht="12.75" hidden="1" customHeight="1" x14ac:dyDescent="0.2">
      <c r="A389" s="194"/>
      <c r="B389" s="195"/>
      <c r="C389" s="218"/>
      <c r="D389" s="354" t="s">
        <v>535</v>
      </c>
      <c r="E389" s="197"/>
      <c r="F389" s="344"/>
      <c r="G389" s="197"/>
      <c r="H389" s="296"/>
      <c r="I389" s="333"/>
    </row>
    <row r="390" spans="1:12" s="260" customFormat="1" ht="12.75" hidden="1" customHeight="1" x14ac:dyDescent="0.2">
      <c r="A390" s="194"/>
      <c r="B390" s="263"/>
      <c r="C390" s="265"/>
      <c r="D390" s="231" t="s">
        <v>280</v>
      </c>
      <c r="E390" s="197"/>
      <c r="F390" s="344"/>
      <c r="G390" s="197"/>
      <c r="H390" s="296"/>
    </row>
    <row r="391" spans="1:12" s="260" customFormat="1" ht="12.75" hidden="1" customHeight="1" x14ac:dyDescent="0.2">
      <c r="A391" s="194"/>
      <c r="B391" s="263"/>
      <c r="C391" s="265"/>
      <c r="D391" s="231" t="s">
        <v>279</v>
      </c>
      <c r="E391" s="197"/>
      <c r="F391" s="344"/>
      <c r="G391" s="197"/>
      <c r="H391" s="296"/>
    </row>
    <row r="392" spans="1:12" s="260" customFormat="1" ht="12.75" hidden="1" customHeight="1" x14ac:dyDescent="0.2">
      <c r="A392" s="194"/>
      <c r="B392" s="263"/>
      <c r="C392" s="265"/>
      <c r="D392" s="231" t="s">
        <v>288</v>
      </c>
      <c r="E392" s="197"/>
      <c r="F392" s="344"/>
      <c r="G392" s="197"/>
      <c r="H392" s="296"/>
    </row>
    <row r="393" spans="1:12" s="260" customFormat="1" ht="12.75" hidden="1" customHeight="1" x14ac:dyDescent="0.2">
      <c r="A393" s="194"/>
      <c r="B393" s="195"/>
      <c r="C393" s="218"/>
      <c r="D393" s="231" t="s">
        <v>257</v>
      </c>
      <c r="E393" s="197"/>
      <c r="F393" s="344"/>
      <c r="G393" s="197"/>
      <c r="H393" s="296"/>
    </row>
    <row r="394" spans="1:12" s="260" customFormat="1" ht="12.75" hidden="1" customHeight="1" x14ac:dyDescent="0.2">
      <c r="A394" s="194"/>
      <c r="B394" s="195"/>
      <c r="C394" s="218"/>
      <c r="D394" s="231" t="s">
        <v>388</v>
      </c>
      <c r="E394" s="197"/>
      <c r="F394" s="344"/>
      <c r="G394" s="197"/>
      <c r="H394" s="296"/>
    </row>
    <row r="395" spans="1:12" s="260" customFormat="1" ht="12.75" hidden="1" customHeight="1" x14ac:dyDescent="0.2">
      <c r="A395" s="194"/>
      <c r="B395" s="195"/>
      <c r="C395" s="218"/>
      <c r="D395" s="276" t="s">
        <v>359</v>
      </c>
      <c r="E395" s="197"/>
      <c r="F395" s="344"/>
      <c r="G395" s="197"/>
      <c r="H395" s="296"/>
    </row>
    <row r="396" spans="1:12" s="260" customFormat="1" ht="12.75" customHeight="1" x14ac:dyDescent="0.2">
      <c r="A396" s="198">
        <f>1+A387</f>
        <v>43</v>
      </c>
      <c r="B396" s="199">
        <v>4090</v>
      </c>
      <c r="C396" s="219" t="s">
        <v>274</v>
      </c>
      <c r="D396" s="277" t="str">
        <f>$D$12</f>
        <v>FTE July 2025</v>
      </c>
      <c r="E396" s="200">
        <f>'4090'!I$145</f>
        <v>182095.15</v>
      </c>
      <c r="F396" s="343"/>
      <c r="G396" s="200">
        <f>SUBTOTAL(109,E396:F405)</f>
        <v>182095.15</v>
      </c>
      <c r="H396" s="296"/>
    </row>
    <row r="397" spans="1:12" s="260" customFormat="1" ht="12.75" hidden="1" customHeight="1" x14ac:dyDescent="0.2">
      <c r="A397" s="198"/>
      <c r="B397" s="199"/>
      <c r="C397" s="219"/>
      <c r="D397" s="232" t="s">
        <v>278</v>
      </c>
      <c r="E397" s="200"/>
      <c r="F397" s="343"/>
      <c r="G397" s="200"/>
      <c r="H397" s="296"/>
      <c r="L397" s="334"/>
    </row>
    <row r="398" spans="1:12" s="260" customFormat="1" ht="12.75" hidden="1" customHeight="1" x14ac:dyDescent="0.2">
      <c r="A398" s="198"/>
      <c r="B398" s="199"/>
      <c r="C398" s="219"/>
      <c r="D398" s="421" t="s">
        <v>396</v>
      </c>
      <c r="E398" s="200"/>
      <c r="F398" s="343"/>
      <c r="G398" s="200"/>
      <c r="H398" s="296"/>
    </row>
    <row r="399" spans="1:12" s="260" customFormat="1" ht="12.75" hidden="1" customHeight="1" x14ac:dyDescent="0.2">
      <c r="A399" s="198"/>
      <c r="B399" s="199"/>
      <c r="C399" s="219"/>
      <c r="D399" s="421" t="s">
        <v>395</v>
      </c>
      <c r="E399" s="200"/>
      <c r="F399" s="343"/>
      <c r="G399" s="200"/>
      <c r="H399" s="296"/>
      <c r="I399" s="195"/>
    </row>
    <row r="400" spans="1:12" s="260" customFormat="1" ht="12.75" hidden="1" customHeight="1" x14ac:dyDescent="0.2">
      <c r="A400" s="198"/>
      <c r="B400" s="199"/>
      <c r="C400" s="219"/>
      <c r="D400" s="232" t="s">
        <v>280</v>
      </c>
      <c r="E400" s="200"/>
      <c r="F400" s="343"/>
      <c r="G400" s="200"/>
      <c r="H400" s="296"/>
    </row>
    <row r="401" spans="1:13" s="260" customFormat="1" ht="12.75" hidden="1" customHeight="1" x14ac:dyDescent="0.2">
      <c r="A401" s="198"/>
      <c r="B401" s="199"/>
      <c r="C401" s="219"/>
      <c r="D401" s="232" t="s">
        <v>279</v>
      </c>
      <c r="E401" s="200"/>
      <c r="F401" s="343"/>
      <c r="G401" s="200"/>
      <c r="H401" s="296"/>
    </row>
    <row r="402" spans="1:13" s="260" customFormat="1" ht="12.75" hidden="1" customHeight="1" x14ac:dyDescent="0.2">
      <c r="A402" s="198"/>
      <c r="B402" s="199"/>
      <c r="C402" s="219"/>
      <c r="D402" s="232" t="s">
        <v>288</v>
      </c>
      <c r="E402" s="200"/>
      <c r="F402" s="343"/>
      <c r="G402" s="200"/>
      <c r="H402" s="296"/>
    </row>
    <row r="403" spans="1:13" s="260" customFormat="1" ht="12.75" hidden="1" customHeight="1" x14ac:dyDescent="0.2">
      <c r="A403" s="198"/>
      <c r="B403" s="199"/>
      <c r="C403" s="219"/>
      <c r="D403" s="232" t="s">
        <v>257</v>
      </c>
      <c r="E403" s="200"/>
      <c r="F403" s="343"/>
      <c r="G403" s="200"/>
      <c r="H403" s="296"/>
      <c r="I403" s="333"/>
    </row>
    <row r="404" spans="1:13" s="260" customFormat="1" ht="12.75" hidden="1" customHeight="1" x14ac:dyDescent="0.2">
      <c r="A404" s="198"/>
      <c r="B404" s="199"/>
      <c r="C404" s="219"/>
      <c r="D404" s="232" t="s">
        <v>388</v>
      </c>
      <c r="E404" s="200"/>
      <c r="F404" s="343"/>
      <c r="G404" s="200"/>
      <c r="H404" s="296"/>
      <c r="I404" s="335"/>
    </row>
    <row r="405" spans="1:13" s="260" customFormat="1" ht="12.75" hidden="1" customHeight="1" x14ac:dyDescent="0.2">
      <c r="A405" s="198"/>
      <c r="B405" s="199"/>
      <c r="C405" s="219"/>
      <c r="D405" s="232" t="s">
        <v>604</v>
      </c>
      <c r="E405" s="200"/>
      <c r="F405" s="343"/>
      <c r="G405" s="200"/>
      <c r="H405" s="296"/>
      <c r="I405" s="333"/>
    </row>
    <row r="406" spans="1:13" s="260" customFormat="1" ht="12.75" customHeight="1" x14ac:dyDescent="0.2">
      <c r="A406" s="194">
        <f>1+A396</f>
        <v>44</v>
      </c>
      <c r="B406" s="263">
        <v>4091</v>
      </c>
      <c r="C406" s="265" t="s">
        <v>275</v>
      </c>
      <c r="D406" s="545" t="str">
        <f>$D$12</f>
        <v>FTE July 2025</v>
      </c>
      <c r="E406" s="197">
        <f>'4091'!I$145</f>
        <v>285991.09999999998</v>
      </c>
      <c r="F406" s="344"/>
      <c r="G406" s="197">
        <f>SUBTOTAL(109,E406:F415)</f>
        <v>285991.09999999998</v>
      </c>
      <c r="H406" s="296"/>
      <c r="L406" s="334"/>
    </row>
    <row r="407" spans="1:13" s="260" customFormat="1" ht="12.75" hidden="1" customHeight="1" x14ac:dyDescent="0.2">
      <c r="A407" s="194"/>
      <c r="B407" s="263"/>
      <c r="C407" s="265"/>
      <c r="D407" s="231" t="s">
        <v>597</v>
      </c>
      <c r="E407" s="197"/>
      <c r="F407" s="344"/>
      <c r="G407" s="197"/>
      <c r="H407" s="296"/>
    </row>
    <row r="408" spans="1:13" s="260" customFormat="1" ht="12.75" hidden="1" customHeight="1" x14ac:dyDescent="0.2">
      <c r="A408" s="194"/>
      <c r="B408" s="195"/>
      <c r="C408" s="218"/>
      <c r="D408" s="354" t="s">
        <v>535</v>
      </c>
      <c r="E408" s="197"/>
      <c r="F408" s="344"/>
      <c r="G408" s="197"/>
      <c r="H408" s="296"/>
      <c r="I408" s="195"/>
    </row>
    <row r="409" spans="1:13" s="260" customFormat="1" ht="12.75" hidden="1" customHeight="1" x14ac:dyDescent="0.2">
      <c r="A409" s="194"/>
      <c r="B409" s="263"/>
      <c r="C409" s="265"/>
      <c r="D409" s="231" t="s">
        <v>280</v>
      </c>
      <c r="E409" s="197"/>
      <c r="F409" s="344"/>
      <c r="G409" s="197"/>
      <c r="H409" s="296"/>
      <c r="I409" s="195"/>
    </row>
    <row r="410" spans="1:13" s="260" customFormat="1" ht="12.75" hidden="1" customHeight="1" x14ac:dyDescent="0.2">
      <c r="A410" s="194"/>
      <c r="B410" s="263"/>
      <c r="C410" s="265"/>
      <c r="D410" s="231" t="s">
        <v>279</v>
      </c>
      <c r="E410" s="197"/>
      <c r="F410" s="344"/>
      <c r="G410" s="197"/>
      <c r="H410" s="296"/>
    </row>
    <row r="411" spans="1:13" s="260" customFormat="1" ht="12.75" hidden="1" customHeight="1" x14ac:dyDescent="0.2">
      <c r="A411" s="194"/>
      <c r="B411" s="263"/>
      <c r="C411" s="265"/>
      <c r="D411" s="231" t="s">
        <v>288</v>
      </c>
      <c r="E411" s="197"/>
      <c r="F411" s="344"/>
      <c r="G411" s="197"/>
      <c r="H411" s="296"/>
    </row>
    <row r="412" spans="1:13" s="260" customFormat="1" ht="12.75" hidden="1" customHeight="1" x14ac:dyDescent="0.2">
      <c r="A412" s="194"/>
      <c r="B412" s="195"/>
      <c r="C412" s="218"/>
      <c r="D412" s="231" t="s">
        <v>257</v>
      </c>
      <c r="E412" s="197"/>
      <c r="F412" s="344"/>
      <c r="G412" s="197"/>
      <c r="H412" s="296"/>
    </row>
    <row r="413" spans="1:13" s="260" customFormat="1" ht="12.75" hidden="1" customHeight="1" x14ac:dyDescent="0.2">
      <c r="A413" s="194"/>
      <c r="B413" s="195"/>
      <c r="C413" s="218"/>
      <c r="D413" s="231" t="s">
        <v>388</v>
      </c>
      <c r="E413" s="197"/>
      <c r="F413" s="344"/>
      <c r="G413" s="197"/>
      <c r="H413" s="296"/>
    </row>
    <row r="414" spans="1:13" s="260" customFormat="1" ht="12.75" hidden="1" customHeight="1" x14ac:dyDescent="0.2">
      <c r="A414" s="194"/>
      <c r="B414" s="195"/>
      <c r="C414" s="218"/>
      <c r="D414" s="276" t="s">
        <v>536</v>
      </c>
      <c r="E414" s="197"/>
      <c r="F414" s="344"/>
      <c r="G414" s="197"/>
      <c r="H414" s="296"/>
    </row>
    <row r="415" spans="1:13" s="260" customFormat="1" ht="12.75" hidden="1" customHeight="1" x14ac:dyDescent="0.2">
      <c r="A415" s="194"/>
      <c r="B415" s="195"/>
      <c r="C415" s="218"/>
      <c r="D415" s="355" t="s">
        <v>609</v>
      </c>
      <c r="E415" s="197"/>
      <c r="F415" s="344"/>
      <c r="G415" s="197"/>
      <c r="H415" s="296"/>
    </row>
    <row r="416" spans="1:13" s="260" customFormat="1" ht="12.75" customHeight="1" x14ac:dyDescent="0.2">
      <c r="A416" s="198">
        <f>1+A406</f>
        <v>45</v>
      </c>
      <c r="B416" s="199">
        <v>4100</v>
      </c>
      <c r="C416" s="219" t="s">
        <v>267</v>
      </c>
      <c r="D416" s="277" t="str">
        <f>$D$12</f>
        <v>FTE July 2025</v>
      </c>
      <c r="E416" s="200">
        <f>'4100'!I$145</f>
        <v>312807.53999999998</v>
      </c>
      <c r="F416" s="343"/>
      <c r="G416" s="200">
        <f>SUBTOTAL(109,E416:F424)</f>
        <v>312807.53999999998</v>
      </c>
      <c r="H416" s="296"/>
      <c r="M416" s="334"/>
    </row>
    <row r="417" spans="1:9" s="260" customFormat="1" ht="12.75" hidden="1" customHeight="1" x14ac:dyDescent="0.2">
      <c r="A417" s="198"/>
      <c r="B417" s="199"/>
      <c r="C417" s="219"/>
      <c r="D417" s="232" t="s">
        <v>278</v>
      </c>
      <c r="E417" s="200"/>
      <c r="F417" s="343"/>
      <c r="G417" s="200"/>
      <c r="H417" s="296"/>
    </row>
    <row r="418" spans="1:9" s="260" customFormat="1" ht="12.75" hidden="1" customHeight="1" x14ac:dyDescent="0.2">
      <c r="A418" s="198"/>
      <c r="B418" s="199"/>
      <c r="C418" s="219"/>
      <c r="D418" s="421" t="s">
        <v>535</v>
      </c>
      <c r="E418" s="200"/>
      <c r="F418" s="343"/>
      <c r="G418" s="200"/>
      <c r="H418" s="296"/>
      <c r="I418" s="195"/>
    </row>
    <row r="419" spans="1:9" s="260" customFormat="1" ht="12.75" hidden="1" customHeight="1" x14ac:dyDescent="0.2">
      <c r="A419" s="198"/>
      <c r="B419" s="199"/>
      <c r="C419" s="219"/>
      <c r="D419" s="232" t="s">
        <v>280</v>
      </c>
      <c r="E419" s="200"/>
      <c r="F419" s="343"/>
      <c r="G419" s="200"/>
      <c r="H419" s="296"/>
    </row>
    <row r="420" spans="1:9" s="260" customFormat="1" ht="12.75" hidden="1" customHeight="1" x14ac:dyDescent="0.2">
      <c r="A420" s="198"/>
      <c r="B420" s="199"/>
      <c r="C420" s="219"/>
      <c r="D420" s="232" t="s">
        <v>279</v>
      </c>
      <c r="E420" s="200"/>
      <c r="F420" s="343"/>
      <c r="G420" s="200"/>
      <c r="H420" s="296"/>
    </row>
    <row r="421" spans="1:9" s="260" customFormat="1" ht="12.75" hidden="1" customHeight="1" x14ac:dyDescent="0.2">
      <c r="A421" s="198"/>
      <c r="B421" s="199"/>
      <c r="C421" s="219"/>
      <c r="D421" s="232" t="s">
        <v>288</v>
      </c>
      <c r="E421" s="200"/>
      <c r="F421" s="343"/>
      <c r="G421" s="200"/>
      <c r="H421" s="296"/>
    </row>
    <row r="422" spans="1:9" s="260" customFormat="1" ht="12.75" hidden="1" customHeight="1" x14ac:dyDescent="0.2">
      <c r="A422" s="198"/>
      <c r="B422" s="199"/>
      <c r="C422" s="219"/>
      <c r="D422" s="232" t="s">
        <v>257</v>
      </c>
      <c r="E422" s="200"/>
      <c r="F422" s="343"/>
      <c r="G422" s="200"/>
      <c r="H422" s="296"/>
      <c r="I422" s="333"/>
    </row>
    <row r="423" spans="1:9" s="260" customFormat="1" ht="12.75" hidden="1" customHeight="1" x14ac:dyDescent="0.2">
      <c r="A423" s="198"/>
      <c r="B423" s="199"/>
      <c r="C423" s="219"/>
      <c r="D423" s="232" t="s">
        <v>388</v>
      </c>
      <c r="E423" s="200"/>
      <c r="F423" s="343"/>
      <c r="G423" s="200"/>
      <c r="H423" s="296"/>
      <c r="I423" s="335"/>
    </row>
    <row r="424" spans="1:9" s="260" customFormat="1" ht="12.75" hidden="1" customHeight="1" x14ac:dyDescent="0.2">
      <c r="A424" s="198"/>
      <c r="B424" s="199"/>
      <c r="C424" s="219"/>
      <c r="D424" s="232" t="s">
        <v>359</v>
      </c>
      <c r="E424" s="200"/>
      <c r="F424" s="343"/>
      <c r="G424" s="200"/>
      <c r="H424" s="296"/>
    </row>
    <row r="425" spans="1:9" s="260" customFormat="1" ht="12.75" customHeight="1" x14ac:dyDescent="0.2">
      <c r="A425" s="194">
        <f>1+A416</f>
        <v>46</v>
      </c>
      <c r="B425" s="263">
        <v>4102</v>
      </c>
      <c r="C425" s="265" t="s">
        <v>282</v>
      </c>
      <c r="D425" s="545" t="str">
        <f>$D$12</f>
        <v>FTE July 2025</v>
      </c>
      <c r="E425" s="702">
        <f>'4102'!I$145</f>
        <v>95722.880000000005</v>
      </c>
      <c r="F425" s="344"/>
      <c r="G425" s="197">
        <f>SUBTOTAL(109,E425:F432)</f>
        <v>94980.98000000001</v>
      </c>
      <c r="H425" s="296"/>
    </row>
    <row r="426" spans="1:9" s="260" customFormat="1" ht="12.75" hidden="1" customHeight="1" x14ac:dyDescent="0.2">
      <c r="A426" s="194"/>
      <c r="B426" s="263"/>
      <c r="C426" s="265"/>
      <c r="D426" s="231" t="s">
        <v>597</v>
      </c>
      <c r="E426" s="197"/>
      <c r="F426" s="344">
        <v>0</v>
      </c>
      <c r="G426" s="197"/>
      <c r="H426" s="296"/>
    </row>
    <row r="427" spans="1:9" s="260" customFormat="1" ht="12.75" hidden="1" customHeight="1" x14ac:dyDescent="0.2">
      <c r="A427" s="194"/>
      <c r="B427" s="195"/>
      <c r="C427" s="218"/>
      <c r="D427" s="354"/>
      <c r="E427" s="487"/>
      <c r="F427" s="344"/>
      <c r="G427" s="197"/>
      <c r="H427" s="296"/>
    </row>
    <row r="428" spans="1:9" s="260" customFormat="1" ht="12.75" customHeight="1" x14ac:dyDescent="0.2">
      <c r="A428" s="194"/>
      <c r="B428" s="263"/>
      <c r="C428" s="265"/>
      <c r="D428" s="354" t="s">
        <v>624</v>
      </c>
      <c r="E428" s="197"/>
      <c r="F428" s="344">
        <v>-741.9</v>
      </c>
      <c r="G428" s="197"/>
      <c r="H428" s="296"/>
      <c r="I428" s="195"/>
    </row>
    <row r="429" spans="1:9" s="260" customFormat="1" ht="12.75" hidden="1" customHeight="1" x14ac:dyDescent="0.2">
      <c r="A429" s="194"/>
      <c r="B429" s="263"/>
      <c r="C429" s="265"/>
      <c r="D429" s="231" t="s">
        <v>279</v>
      </c>
      <c r="E429" s="197"/>
      <c r="F429" s="344"/>
      <c r="G429" s="197"/>
      <c r="H429" s="296"/>
    </row>
    <row r="430" spans="1:9" s="260" customFormat="1" ht="12.75" hidden="1" customHeight="1" x14ac:dyDescent="0.2">
      <c r="A430" s="194"/>
      <c r="B430" s="263"/>
      <c r="C430" s="265"/>
      <c r="D430" s="231" t="s">
        <v>288</v>
      </c>
      <c r="E430" s="197"/>
      <c r="F430" s="344"/>
      <c r="G430" s="197"/>
      <c r="H430" s="296"/>
    </row>
    <row r="431" spans="1:9" s="260" customFormat="1" ht="12.75" hidden="1" customHeight="1" x14ac:dyDescent="0.2">
      <c r="A431" s="194"/>
      <c r="B431" s="195"/>
      <c r="C431" s="218"/>
      <c r="D431" s="231" t="s">
        <v>257</v>
      </c>
      <c r="E431" s="197"/>
      <c r="F431" s="344"/>
      <c r="G431" s="197"/>
      <c r="H431" s="296"/>
    </row>
    <row r="432" spans="1:9" s="260" customFormat="1" ht="12.75" hidden="1" customHeight="1" x14ac:dyDescent="0.2">
      <c r="A432" s="194"/>
      <c r="B432" s="195"/>
      <c r="C432" s="218"/>
      <c r="D432" s="276"/>
      <c r="E432" s="197"/>
      <c r="F432" s="344"/>
      <c r="G432" s="197"/>
      <c r="H432" s="296"/>
    </row>
    <row r="433" spans="1:9" s="260" customFormat="1" ht="12.75" customHeight="1" x14ac:dyDescent="0.2">
      <c r="A433" s="198">
        <f>A425+1</f>
        <v>47</v>
      </c>
      <c r="B433" s="199">
        <v>4103</v>
      </c>
      <c r="C433" s="219" t="s">
        <v>323</v>
      </c>
      <c r="D433" s="277" t="str">
        <f>$D$12</f>
        <v>FTE July 2025</v>
      </c>
      <c r="E433" s="200">
        <f>'4103'!I$145</f>
        <v>660664.68999999994</v>
      </c>
      <c r="F433" s="343"/>
      <c r="G433" s="200">
        <f>SUBTOTAL(109,E433:F442)</f>
        <v>660664.68999999994</v>
      </c>
      <c r="H433" s="296"/>
    </row>
    <row r="434" spans="1:9" s="260" customFormat="1" ht="12.75" hidden="1" customHeight="1" x14ac:dyDescent="0.2">
      <c r="A434" s="198"/>
      <c r="B434" s="199"/>
      <c r="C434" s="219"/>
      <c r="D434" s="232" t="s">
        <v>278</v>
      </c>
      <c r="E434" s="200"/>
      <c r="F434" s="343"/>
      <c r="G434" s="200"/>
      <c r="H434" s="296"/>
    </row>
    <row r="435" spans="1:9" s="260" customFormat="1" ht="12.75" hidden="1" customHeight="1" x14ac:dyDescent="0.2">
      <c r="A435" s="198"/>
      <c r="B435" s="199"/>
      <c r="C435" s="219"/>
      <c r="D435" s="421" t="s">
        <v>535</v>
      </c>
      <c r="E435" s="200"/>
      <c r="F435" s="343"/>
      <c r="G435" s="200"/>
      <c r="H435" s="296"/>
    </row>
    <row r="436" spans="1:9" s="260" customFormat="1" ht="12.75" hidden="1" customHeight="1" x14ac:dyDescent="0.2">
      <c r="A436" s="198"/>
      <c r="B436" s="199"/>
      <c r="C436" s="219"/>
      <c r="D436" s="421" t="s">
        <v>395</v>
      </c>
      <c r="E436" s="200"/>
      <c r="F436" s="343"/>
      <c r="G436" s="200"/>
      <c r="H436" s="296"/>
    </row>
    <row r="437" spans="1:9" s="260" customFormat="1" ht="12.75" hidden="1" customHeight="1" x14ac:dyDescent="0.2">
      <c r="A437" s="198"/>
      <c r="B437" s="199"/>
      <c r="C437" s="219"/>
      <c r="D437" s="232" t="s">
        <v>280</v>
      </c>
      <c r="E437" s="200"/>
      <c r="F437" s="343"/>
      <c r="G437" s="200"/>
      <c r="H437" s="296"/>
      <c r="I437" s="195"/>
    </row>
    <row r="438" spans="1:9" s="260" customFormat="1" ht="12.75" hidden="1" customHeight="1" x14ac:dyDescent="0.2">
      <c r="A438" s="198"/>
      <c r="B438" s="199"/>
      <c r="C438" s="219"/>
      <c r="D438" s="232" t="s">
        <v>279</v>
      </c>
      <c r="E438" s="200"/>
      <c r="F438" s="343"/>
      <c r="G438" s="200"/>
      <c r="H438" s="296"/>
    </row>
    <row r="439" spans="1:9" s="260" customFormat="1" ht="12.75" hidden="1" customHeight="1" x14ac:dyDescent="0.2">
      <c r="A439" s="198"/>
      <c r="B439" s="199"/>
      <c r="C439" s="219"/>
      <c r="D439" s="232" t="s">
        <v>288</v>
      </c>
      <c r="E439" s="200"/>
      <c r="F439" s="343"/>
      <c r="G439" s="200"/>
      <c r="H439" s="296"/>
    </row>
    <row r="440" spans="1:9" s="260" customFormat="1" ht="12.75" hidden="1" customHeight="1" x14ac:dyDescent="0.2">
      <c r="A440" s="198"/>
      <c r="B440" s="199"/>
      <c r="C440" s="219"/>
      <c r="D440" s="232" t="s">
        <v>257</v>
      </c>
      <c r="E440" s="200"/>
      <c r="F440" s="343"/>
      <c r="G440" s="200"/>
      <c r="H440" s="296"/>
      <c r="I440" s="188"/>
    </row>
    <row r="441" spans="1:9" s="260" customFormat="1" ht="12.75" hidden="1" customHeight="1" x14ac:dyDescent="0.2">
      <c r="A441" s="198"/>
      <c r="B441" s="199"/>
      <c r="C441" s="219"/>
      <c r="D441" s="232" t="s">
        <v>388</v>
      </c>
      <c r="E441" s="200"/>
      <c r="F441" s="343"/>
      <c r="G441" s="200"/>
      <c r="H441" s="296"/>
      <c r="I441" s="333"/>
    </row>
    <row r="442" spans="1:9" s="260" customFormat="1" ht="12.75" hidden="1" customHeight="1" x14ac:dyDescent="0.2">
      <c r="A442" s="198"/>
      <c r="B442" s="199"/>
      <c r="C442" s="219"/>
      <c r="D442" s="232" t="s">
        <v>359</v>
      </c>
      <c r="E442" s="200"/>
      <c r="F442" s="343"/>
      <c r="G442" s="200"/>
      <c r="H442" s="296"/>
      <c r="I442" s="333"/>
    </row>
    <row r="443" spans="1:9" s="260" customFormat="1" ht="12.75" customHeight="1" x14ac:dyDescent="0.2">
      <c r="A443" s="194">
        <f>1+A433</f>
        <v>48</v>
      </c>
      <c r="B443" s="263">
        <v>4111</v>
      </c>
      <c r="C443" s="265" t="s">
        <v>355</v>
      </c>
      <c r="D443" s="545" t="str">
        <f>$D$12</f>
        <v>FTE July 2025</v>
      </c>
      <c r="E443" s="197">
        <f>'4111'!I$145</f>
        <v>200228.99</v>
      </c>
      <c r="F443" s="344"/>
      <c r="G443" s="197">
        <f>SUBTOTAL(109,E443:F451)</f>
        <v>200228.99</v>
      </c>
      <c r="H443" s="296"/>
    </row>
    <row r="444" spans="1:9" s="260" customFormat="1" ht="12.75" hidden="1" customHeight="1" x14ac:dyDescent="0.2">
      <c r="A444" s="194"/>
      <c r="B444" s="263"/>
      <c r="C444" s="265"/>
      <c r="D444" s="231" t="s">
        <v>597</v>
      </c>
      <c r="E444" s="197"/>
      <c r="F444" s="344"/>
      <c r="G444" s="197"/>
      <c r="H444" s="296"/>
    </row>
    <row r="445" spans="1:9" s="260" customFormat="1" ht="12.75" hidden="1" customHeight="1" x14ac:dyDescent="0.2">
      <c r="A445" s="194"/>
      <c r="B445" s="195"/>
      <c r="C445" s="218"/>
      <c r="D445" s="354" t="s">
        <v>535</v>
      </c>
      <c r="E445" s="197"/>
      <c r="F445" s="344"/>
      <c r="G445" s="197"/>
      <c r="H445" s="296"/>
      <c r="I445" s="195"/>
    </row>
    <row r="446" spans="1:9" s="260" customFormat="1" ht="12.75" hidden="1" customHeight="1" x14ac:dyDescent="0.2">
      <c r="A446" s="194"/>
      <c r="B446" s="263"/>
      <c r="C446" s="265"/>
      <c r="D446" s="231" t="s">
        <v>280</v>
      </c>
      <c r="E446" s="197"/>
      <c r="F446" s="344"/>
      <c r="G446" s="197"/>
      <c r="H446" s="296"/>
      <c r="I446" s="195"/>
    </row>
    <row r="447" spans="1:9" s="260" customFormat="1" ht="12.75" hidden="1" customHeight="1" x14ac:dyDescent="0.2">
      <c r="A447" s="194"/>
      <c r="B447" s="263"/>
      <c r="C447" s="265"/>
      <c r="D447" s="231" t="s">
        <v>279</v>
      </c>
      <c r="E447" s="197"/>
      <c r="F447" s="344"/>
      <c r="G447" s="197"/>
      <c r="H447" s="296"/>
    </row>
    <row r="448" spans="1:9" s="260" customFormat="1" ht="12.75" hidden="1" customHeight="1" x14ac:dyDescent="0.2">
      <c r="A448" s="194"/>
      <c r="B448" s="263"/>
      <c r="C448" s="265"/>
      <c r="D448" s="231" t="s">
        <v>288</v>
      </c>
      <c r="E448" s="197"/>
      <c r="F448" s="344"/>
      <c r="G448" s="197"/>
      <c r="H448" s="296"/>
    </row>
    <row r="449" spans="1:9" s="260" customFormat="1" ht="12.75" hidden="1" customHeight="1" x14ac:dyDescent="0.2">
      <c r="A449" s="194"/>
      <c r="B449" s="195"/>
      <c r="C449" s="218"/>
      <c r="D449" s="231" t="s">
        <v>257</v>
      </c>
      <c r="E449" s="197"/>
      <c r="F449" s="344"/>
      <c r="G449" s="197"/>
      <c r="H449" s="296"/>
    </row>
    <row r="450" spans="1:9" s="260" customFormat="1" hidden="1" x14ac:dyDescent="0.2">
      <c r="A450" s="194"/>
      <c r="B450" s="195"/>
      <c r="C450" s="218"/>
      <c r="D450" s="231" t="s">
        <v>388</v>
      </c>
      <c r="E450" s="197"/>
      <c r="F450" s="344"/>
      <c r="G450" s="197"/>
      <c r="H450" s="296"/>
    </row>
    <row r="451" spans="1:9" s="260" customFormat="1" hidden="1" x14ac:dyDescent="0.2">
      <c r="A451" s="194"/>
      <c r="B451" s="195"/>
      <c r="C451" s="218"/>
      <c r="D451" s="276" t="s">
        <v>359</v>
      </c>
      <c r="E451" s="197"/>
      <c r="F451" s="344"/>
      <c r="G451" s="197"/>
      <c r="H451" s="296"/>
    </row>
    <row r="452" spans="1:9" s="260" customFormat="1" ht="12.75" customHeight="1" x14ac:dyDescent="0.2">
      <c r="A452" s="198">
        <f>1+A443</f>
        <v>49</v>
      </c>
      <c r="B452" s="426">
        <v>4131</v>
      </c>
      <c r="C452" s="427" t="s">
        <v>412</v>
      </c>
      <c r="D452" s="277" t="str">
        <f>$D$12</f>
        <v>FTE July 2025</v>
      </c>
      <c r="E452" s="200">
        <f>'4131'!I$145</f>
        <v>66112.399999999994</v>
      </c>
      <c r="F452" s="343"/>
      <c r="G452" s="200">
        <f>SUBTOTAL(109,E452:F460)</f>
        <v>66112.399999999994</v>
      </c>
      <c r="H452" s="296"/>
    </row>
    <row r="453" spans="1:9" s="260" customFormat="1" ht="12.75" hidden="1" customHeight="1" x14ac:dyDescent="0.2">
      <c r="A453" s="198"/>
      <c r="B453" s="426"/>
      <c r="C453" s="427"/>
      <c r="D453" s="232" t="s">
        <v>278</v>
      </c>
      <c r="E453" s="200"/>
      <c r="F453" s="343"/>
      <c r="G453" s="200"/>
      <c r="H453" s="296"/>
    </row>
    <row r="454" spans="1:9" s="260" customFormat="1" ht="12.75" hidden="1" customHeight="1" x14ac:dyDescent="0.2">
      <c r="A454" s="198"/>
      <c r="B454" s="199"/>
      <c r="C454" s="219"/>
      <c r="D454" s="421" t="s">
        <v>396</v>
      </c>
      <c r="E454" s="200"/>
      <c r="F454" s="343"/>
      <c r="G454" s="200"/>
      <c r="H454" s="296"/>
    </row>
    <row r="455" spans="1:9" s="260" customFormat="1" ht="12.75" hidden="1" customHeight="1" x14ac:dyDescent="0.2">
      <c r="A455" s="198"/>
      <c r="B455" s="426"/>
      <c r="C455" s="427"/>
      <c r="D455" s="232" t="s">
        <v>280</v>
      </c>
      <c r="E455" s="200"/>
      <c r="F455" s="343"/>
      <c r="G455" s="200"/>
      <c r="H455" s="296"/>
      <c r="I455" s="195"/>
    </row>
    <row r="456" spans="1:9" s="260" customFormat="1" ht="12.75" hidden="1" customHeight="1" x14ac:dyDescent="0.2">
      <c r="A456" s="198"/>
      <c r="B456" s="426"/>
      <c r="C456" s="427"/>
      <c r="D456" s="232" t="s">
        <v>279</v>
      </c>
      <c r="E456" s="200"/>
      <c r="F456" s="343"/>
      <c r="G456" s="200"/>
      <c r="H456" s="296"/>
    </row>
    <row r="457" spans="1:9" s="260" customFormat="1" ht="12.75" hidden="1" customHeight="1" x14ac:dyDescent="0.2">
      <c r="A457" s="198"/>
      <c r="B457" s="426"/>
      <c r="C457" s="427"/>
      <c r="D457" s="232" t="s">
        <v>288</v>
      </c>
      <c r="E457" s="200"/>
      <c r="F457" s="343"/>
      <c r="G457" s="200"/>
      <c r="H457" s="296"/>
    </row>
    <row r="458" spans="1:9" s="260" customFormat="1" ht="12.75" hidden="1" customHeight="1" x14ac:dyDescent="0.2">
      <c r="A458" s="198"/>
      <c r="B458" s="199"/>
      <c r="C458" s="219"/>
      <c r="D458" s="232" t="s">
        <v>257</v>
      </c>
      <c r="E458" s="200"/>
      <c r="F458" s="343"/>
      <c r="G458" s="200"/>
      <c r="H458" s="296"/>
      <c r="I458" s="188"/>
    </row>
    <row r="459" spans="1:9" s="260" customFormat="1" ht="12.75" hidden="1" customHeight="1" x14ac:dyDescent="0.2">
      <c r="A459" s="198"/>
      <c r="B459" s="199"/>
      <c r="C459" s="219"/>
      <c r="D459" s="232" t="s">
        <v>388</v>
      </c>
      <c r="E459" s="200"/>
      <c r="F459" s="343"/>
      <c r="G459" s="200"/>
      <c r="H459" s="296"/>
      <c r="I459" s="333"/>
    </row>
    <row r="460" spans="1:9" s="260" customFormat="1" ht="12.75" hidden="1" customHeight="1" x14ac:dyDescent="0.2">
      <c r="A460" s="198"/>
      <c r="B460" s="199"/>
      <c r="C460" s="219"/>
      <c r="D460" s="278" t="s">
        <v>359</v>
      </c>
      <c r="E460" s="200"/>
      <c r="F460" s="343"/>
      <c r="G460" s="200"/>
      <c r="H460" s="296"/>
      <c r="I460" s="335"/>
    </row>
    <row r="461" spans="1:9" s="260" customFormat="1" ht="12.75" customHeight="1" x14ac:dyDescent="0.2">
      <c r="A461" s="191"/>
      <c r="B461" s="188"/>
      <c r="C461" s="188"/>
      <c r="D461" s="280"/>
      <c r="E461" s="188"/>
      <c r="F461" s="345"/>
      <c r="G461" s="188"/>
      <c r="H461" s="296"/>
      <c r="I461" s="333"/>
    </row>
    <row r="462" spans="1:9" s="260" customFormat="1" ht="12.75" customHeight="1" thickBot="1" x14ac:dyDescent="0.25">
      <c r="A462" s="188"/>
      <c r="B462" s="190"/>
      <c r="C462" s="217"/>
      <c r="D462" s="280" t="s">
        <v>184</v>
      </c>
      <c r="E462" s="202">
        <f>SUBTOTAL(109,E5:E461)</f>
        <v>16906713.019999992</v>
      </c>
      <c r="F462" s="202">
        <f>SUBTOTAL(109,F12:F461)</f>
        <v>-105659.84999999998</v>
      </c>
      <c r="G462" s="202">
        <f>ROUND(SUM(G5:G461),2)</f>
        <v>16801053.170000002</v>
      </c>
      <c r="H462" s="296"/>
    </row>
    <row r="463" spans="1:9" s="260" customFormat="1" ht="12.75" customHeight="1" thickTop="1" x14ac:dyDescent="0.2">
      <c r="A463" s="188"/>
      <c r="B463" s="190"/>
      <c r="C463" s="217"/>
      <c r="D463" s="188"/>
      <c r="E463" s="188"/>
      <c r="F463" s="238"/>
      <c r="G463" s="201">
        <f>ROUND(G462-E462-F462,2)</f>
        <v>0</v>
      </c>
      <c r="H463" s="296"/>
    </row>
    <row r="464" spans="1:9" s="260" customFormat="1" ht="12.75" customHeight="1" x14ac:dyDescent="0.2">
      <c r="A464" s="188"/>
      <c r="B464" s="190"/>
      <c r="C464" s="217"/>
      <c r="D464" s="188"/>
      <c r="E464" s="188"/>
      <c r="F464" s="238"/>
      <c r="G464" s="188"/>
      <c r="H464" s="296"/>
      <c r="I464" s="195"/>
    </row>
    <row r="465" spans="1:10" s="260" customFormat="1" ht="12.75" customHeight="1" x14ac:dyDescent="0.2">
      <c r="A465" s="188"/>
      <c r="B465" s="190"/>
      <c r="C465" s="217"/>
      <c r="D465" s="188"/>
      <c r="E465" s="188"/>
      <c r="F465" s="238"/>
      <c r="G465" s="188"/>
      <c r="H465" s="296"/>
    </row>
    <row r="466" spans="1:10" s="260" customFormat="1" ht="12.75" customHeight="1" x14ac:dyDescent="0.2">
      <c r="A466" s="188"/>
      <c r="B466" s="190"/>
      <c r="C466" s="217"/>
      <c r="D466" s="188"/>
      <c r="E466" s="188"/>
      <c r="F466" s="238"/>
      <c r="G466" s="188"/>
      <c r="H466" s="296"/>
    </row>
    <row r="467" spans="1:10" s="260" customFormat="1" ht="12.75" customHeight="1" x14ac:dyDescent="0.2">
      <c r="A467" s="188"/>
      <c r="B467" s="190"/>
      <c r="C467" s="217"/>
      <c r="D467" s="188"/>
      <c r="E467" s="188"/>
      <c r="F467" s="238"/>
      <c r="G467" s="188"/>
      <c r="H467" s="296"/>
      <c r="I467" s="188"/>
    </row>
    <row r="468" spans="1:10" s="260" customFormat="1" ht="12.75" customHeight="1" x14ac:dyDescent="0.2">
      <c r="A468" s="188"/>
      <c r="B468" s="190"/>
      <c r="C468" s="217"/>
      <c r="D468" s="188"/>
      <c r="E468" s="188"/>
      <c r="F468" s="238"/>
      <c r="G468" s="188"/>
      <c r="H468" s="296"/>
      <c r="I468" s="333"/>
    </row>
    <row r="469" spans="1:10" s="260" customFormat="1" ht="12.75" customHeight="1" x14ac:dyDescent="0.2">
      <c r="A469" s="269"/>
      <c r="B469" s="190"/>
      <c r="C469" s="241"/>
      <c r="D469" s="269" t="s">
        <v>254</v>
      </c>
      <c r="E469" s="201">
        <f>Consolidated!I146</f>
        <v>16906713.019999992</v>
      </c>
      <c r="F469" s="238"/>
      <c r="G469" s="201">
        <f>E469+F469</f>
        <v>16906713.019999992</v>
      </c>
      <c r="H469" s="296"/>
      <c r="I469" s="335"/>
    </row>
    <row r="470" spans="1:10" s="260" customFormat="1" ht="12.75" customHeight="1" x14ac:dyDescent="0.2">
      <c r="A470" s="188"/>
      <c r="B470" s="188"/>
      <c r="C470" s="188"/>
      <c r="D470" s="196" t="s">
        <v>278</v>
      </c>
      <c r="E470" s="188"/>
      <c r="F470" s="723">
        <f>F453+F444+F434+F417+F407+F397+F388+F381+F372+F363+F356+F345+F335+F325+F316+F307+F299+F289+F280+F264+F272+F254+F244+F235+F225+F214+F206+F195+F187+F180+F172+F163+F153+F135+F126+F119++F102+F91+F81+F73+F62+F61+F54+F38+F13</f>
        <v>0</v>
      </c>
      <c r="G470" s="201">
        <f t="shared" ref="G470:G474" si="0">E470+F470</f>
        <v>0</v>
      </c>
      <c r="H470" s="296"/>
      <c r="I470" s="558"/>
    </row>
    <row r="471" spans="1:10" ht="12.75" hidden="1" customHeight="1" x14ac:dyDescent="0.2">
      <c r="D471" s="554" t="s">
        <v>535</v>
      </c>
      <c r="F471" s="259">
        <f t="shared" ref="F471:F489" si="1">SUM(SUMIF(D$12:D$461,D471,F$12:F$461))</f>
        <v>0</v>
      </c>
      <c r="G471" s="201">
        <f t="shared" si="0"/>
        <v>0</v>
      </c>
      <c r="H471" s="297"/>
    </row>
    <row r="472" spans="1:10" ht="12.75" hidden="1" customHeight="1" x14ac:dyDescent="0.2">
      <c r="D472" s="196" t="s">
        <v>397</v>
      </c>
      <c r="F472" s="259">
        <f t="shared" si="1"/>
        <v>0</v>
      </c>
      <c r="G472" s="201">
        <f t="shared" si="0"/>
        <v>0</v>
      </c>
    </row>
    <row r="473" spans="1:10" ht="12.75" hidden="1" customHeight="1" x14ac:dyDescent="0.2">
      <c r="D473" s="196" t="s">
        <v>398</v>
      </c>
      <c r="F473" s="259">
        <f t="shared" si="1"/>
        <v>0</v>
      </c>
      <c r="G473" s="201">
        <f t="shared" si="0"/>
        <v>0</v>
      </c>
    </row>
    <row r="474" spans="1:10" ht="12.75" hidden="1" customHeight="1" x14ac:dyDescent="0.2">
      <c r="D474" s="420" t="s">
        <v>395</v>
      </c>
      <c r="F474" s="259">
        <f t="shared" si="1"/>
        <v>0</v>
      </c>
      <c r="G474" s="201">
        <f t="shared" si="0"/>
        <v>0</v>
      </c>
    </row>
    <row r="475" spans="1:10" ht="12.75" hidden="1" customHeight="1" x14ac:dyDescent="0.2">
      <c r="D475" s="196" t="s">
        <v>280</v>
      </c>
      <c r="F475" s="259">
        <f t="shared" si="1"/>
        <v>0</v>
      </c>
      <c r="G475" s="201">
        <f t="shared" ref="G475:G480" si="2">E475+F475</f>
        <v>0</v>
      </c>
    </row>
    <row r="476" spans="1:10" ht="12.75" hidden="1" customHeight="1" x14ac:dyDescent="0.2">
      <c r="D476" s="196" t="s">
        <v>378</v>
      </c>
      <c r="F476" s="259">
        <f t="shared" si="1"/>
        <v>0</v>
      </c>
      <c r="G476" s="201">
        <f t="shared" si="2"/>
        <v>0</v>
      </c>
    </row>
    <row r="477" spans="1:10" ht="12.75" hidden="1" customHeight="1" x14ac:dyDescent="0.2">
      <c r="D477" s="188" t="s">
        <v>288</v>
      </c>
      <c r="F477" s="259">
        <f t="shared" si="1"/>
        <v>0</v>
      </c>
      <c r="G477" s="201">
        <f t="shared" si="2"/>
        <v>0</v>
      </c>
    </row>
    <row r="478" spans="1:10" ht="12.75" hidden="1" customHeight="1" x14ac:dyDescent="0.2">
      <c r="A478" s="194"/>
      <c r="B478" s="195"/>
      <c r="C478" s="218"/>
      <c r="D478" s="196" t="s">
        <v>257</v>
      </c>
      <c r="E478" s="197"/>
      <c r="F478" s="259">
        <f t="shared" si="1"/>
        <v>0</v>
      </c>
      <c r="G478" s="201">
        <f t="shared" si="2"/>
        <v>0</v>
      </c>
    </row>
    <row r="479" spans="1:10" ht="12.75" hidden="1" customHeight="1" x14ac:dyDescent="0.2">
      <c r="D479" s="314" t="s">
        <v>315</v>
      </c>
      <c r="F479" s="259">
        <f t="shared" si="1"/>
        <v>0</v>
      </c>
      <c r="G479" s="201">
        <f t="shared" si="2"/>
        <v>0</v>
      </c>
      <c r="J479" s="201"/>
    </row>
    <row r="480" spans="1:10" ht="12.75" customHeight="1" x14ac:dyDescent="0.2">
      <c r="D480" s="314" t="s">
        <v>284</v>
      </c>
      <c r="F480" s="259">
        <f>SUM(SUMIF(D$12:D$461,D480,F$12:F$461))</f>
        <v>-74738.62</v>
      </c>
      <c r="G480" s="201">
        <f t="shared" si="2"/>
        <v>-74738.62</v>
      </c>
      <c r="J480" s="201"/>
    </row>
    <row r="481" spans="1:10" ht="12.75" customHeight="1" x14ac:dyDescent="0.2">
      <c r="D481" s="188" t="s">
        <v>229</v>
      </c>
      <c r="F481" s="259">
        <f t="shared" si="1"/>
        <v>0</v>
      </c>
      <c r="G481" s="201">
        <f t="shared" ref="G481:G491" si="3">E481+F481</f>
        <v>0</v>
      </c>
      <c r="J481" s="201"/>
    </row>
    <row r="482" spans="1:10" ht="12.75" customHeight="1" x14ac:dyDescent="0.2">
      <c r="D482" s="188" t="s">
        <v>230</v>
      </c>
      <c r="F482" s="259">
        <f>SUM(SUMIF(D$12:D$461,D482,F$12:F$461))</f>
        <v>-421.76</v>
      </c>
      <c r="G482" s="201">
        <f t="shared" si="3"/>
        <v>-421.76</v>
      </c>
      <c r="J482" s="201"/>
    </row>
    <row r="483" spans="1:10" ht="12.75" customHeight="1" x14ac:dyDescent="0.2">
      <c r="D483" s="241" t="s">
        <v>496</v>
      </c>
      <c r="F483" s="259">
        <f t="shared" si="1"/>
        <v>-188.96</v>
      </c>
      <c r="G483" s="201">
        <f t="shared" si="3"/>
        <v>-188.96</v>
      </c>
    </row>
    <row r="484" spans="1:10" ht="12.75" customHeight="1" x14ac:dyDescent="0.2">
      <c r="D484" s="188" t="s">
        <v>350</v>
      </c>
      <c r="F484" s="259">
        <f>SUM(SUMIF(D$12:D$461,D484,F$12:F$461))</f>
        <v>-180</v>
      </c>
      <c r="G484" s="201">
        <f>E484+F484</f>
        <v>-180</v>
      </c>
      <c r="J484" s="201"/>
    </row>
    <row r="485" spans="1:10" ht="12.75" customHeight="1" x14ac:dyDescent="0.2">
      <c r="D485" s="241" t="s">
        <v>624</v>
      </c>
      <c r="F485" s="259">
        <f>SUM(SUMIF(D$12:D$461,D485,F$12:F$461))</f>
        <v>-28049.08</v>
      </c>
      <c r="G485" s="201">
        <f>E485+F485</f>
        <v>-28049.08</v>
      </c>
      <c r="J485" s="201"/>
    </row>
    <row r="486" spans="1:10" ht="12.75" hidden="1" customHeight="1" x14ac:dyDescent="0.2">
      <c r="A486" s="194"/>
      <c r="B486" s="195"/>
      <c r="C486" s="218"/>
      <c r="D486" s="196" t="s">
        <v>302</v>
      </c>
      <c r="E486" s="197"/>
      <c r="F486" s="259">
        <f t="shared" si="1"/>
        <v>0</v>
      </c>
      <c r="G486" s="201">
        <f t="shared" si="3"/>
        <v>0</v>
      </c>
    </row>
    <row r="487" spans="1:10" ht="12.75" hidden="1" customHeight="1" x14ac:dyDescent="0.2">
      <c r="D487" s="241" t="s">
        <v>387</v>
      </c>
      <c r="F487" s="259">
        <f t="shared" si="1"/>
        <v>0</v>
      </c>
      <c r="G487" s="201">
        <f t="shared" si="3"/>
        <v>0</v>
      </c>
    </row>
    <row r="488" spans="1:10" ht="12.75" hidden="1" customHeight="1" x14ac:dyDescent="0.2">
      <c r="D488" s="241" t="s">
        <v>382</v>
      </c>
      <c r="F488" s="259">
        <f t="shared" si="1"/>
        <v>0</v>
      </c>
      <c r="G488" s="201">
        <f t="shared" si="3"/>
        <v>0</v>
      </c>
    </row>
    <row r="489" spans="1:10" s="260" customFormat="1" ht="12.75" hidden="1" customHeight="1" x14ac:dyDescent="0.2">
      <c r="A489" s="188"/>
      <c r="B489" s="188"/>
      <c r="C489" s="188"/>
      <c r="D489" s="241" t="s">
        <v>388</v>
      </c>
      <c r="E489" s="188"/>
      <c r="F489" s="259">
        <f t="shared" si="1"/>
        <v>0</v>
      </c>
      <c r="G489" s="201">
        <f t="shared" si="3"/>
        <v>0</v>
      </c>
      <c r="H489" s="296"/>
      <c r="I489" s="333"/>
    </row>
    <row r="490" spans="1:10" ht="12.75" customHeight="1" x14ac:dyDescent="0.2">
      <c r="D490" s="196" t="s">
        <v>571</v>
      </c>
      <c r="F490" s="346">
        <f>SUM(SUMIF(D$12:D$461,"*WPB*",F$12:F$461))</f>
        <v>-2081.4299999999998</v>
      </c>
      <c r="G490" s="201">
        <f t="shared" si="3"/>
        <v>-2081.4299999999998</v>
      </c>
    </row>
    <row r="491" spans="1:10" ht="12.75" hidden="1" customHeight="1" x14ac:dyDescent="0.2">
      <c r="D491" s="196" t="s">
        <v>578</v>
      </c>
      <c r="F491" s="346">
        <f>SUM(SUMIF(D$12:D$461,"*FEFP ADJ*",F$12:F$461))</f>
        <v>0</v>
      </c>
      <c r="G491" s="201">
        <f t="shared" si="3"/>
        <v>0</v>
      </c>
    </row>
    <row r="492" spans="1:10" ht="12.75" customHeight="1" x14ac:dyDescent="0.2">
      <c r="D492" s="196"/>
      <c r="F492" s="346"/>
      <c r="G492" s="201"/>
    </row>
    <row r="493" spans="1:10" ht="12.75" customHeight="1" thickBot="1" x14ac:dyDescent="0.25">
      <c r="D493" s="283" t="s">
        <v>249</v>
      </c>
      <c r="E493" s="202">
        <f>SUM(E469:E491)</f>
        <v>16906713.019999992</v>
      </c>
      <c r="F493" s="202">
        <f>SUM(F469:F491)</f>
        <v>-105659.84999999999</v>
      </c>
      <c r="G493" s="202">
        <f>SUM(G469:G492)</f>
        <v>16801053.169999991</v>
      </c>
    </row>
    <row r="494" spans="1:10" ht="12.75" customHeight="1" thickTop="1" x14ac:dyDescent="0.2">
      <c r="D494" s="283"/>
      <c r="E494" s="555"/>
      <c r="F494" s="555"/>
      <c r="G494" s="555"/>
    </row>
    <row r="495" spans="1:10" ht="12.75" customHeight="1" x14ac:dyDescent="0.2">
      <c r="D495" s="283"/>
      <c r="E495" s="555"/>
      <c r="F495" s="555"/>
      <c r="G495" s="555">
        <f>G462-G493</f>
        <v>0</v>
      </c>
    </row>
    <row r="496" spans="1:10" ht="12" customHeight="1" x14ac:dyDescent="0.2">
      <c r="D496" s="283"/>
      <c r="E496" s="555"/>
      <c r="F496" s="555"/>
      <c r="G496" s="555"/>
    </row>
    <row r="497" spans="1:9" ht="12.75" customHeight="1" thickBot="1" x14ac:dyDescent="0.25">
      <c r="E497" s="201"/>
      <c r="F497" s="201"/>
      <c r="G497" s="201"/>
    </row>
    <row r="498" spans="1:9" ht="12.75" customHeight="1" thickBot="1" x14ac:dyDescent="0.25">
      <c r="C498" s="755" t="s">
        <v>277</v>
      </c>
      <c r="D498" s="756"/>
      <c r="E498" s="756"/>
      <c r="F498" s="756"/>
      <c r="G498" s="757"/>
    </row>
    <row r="499" spans="1:9" s="260" customFormat="1" ht="12.75" customHeight="1" x14ac:dyDescent="0.2">
      <c r="A499" s="188"/>
      <c r="B499" s="188"/>
      <c r="C499" s="413"/>
      <c r="D499" s="414"/>
      <c r="E499" s="414"/>
      <c r="F499" s="546"/>
      <c r="G499" s="547"/>
      <c r="H499" s="296"/>
      <c r="I499" s="188"/>
    </row>
    <row r="500" spans="1:9" ht="12.75" customHeight="1" x14ac:dyDescent="0.2">
      <c r="C500" s="489" t="s">
        <v>618</v>
      </c>
      <c r="D500" s="571"/>
      <c r="E500" s="571"/>
      <c r="F500" s="546"/>
      <c r="G500" s="548"/>
    </row>
    <row r="501" spans="1:9" ht="12.75" customHeight="1" x14ac:dyDescent="0.2">
      <c r="C501" s="743" t="s">
        <v>614</v>
      </c>
      <c r="D501" s="571"/>
      <c r="E501" s="571"/>
      <c r="F501" s="546"/>
      <c r="G501" s="548"/>
    </row>
    <row r="502" spans="1:9" ht="12.75" customHeight="1" x14ac:dyDescent="0.2">
      <c r="C502" s="743"/>
      <c r="D502" s="414"/>
      <c r="E502" s="414"/>
      <c r="F502" s="546"/>
      <c r="G502" s="548"/>
    </row>
    <row r="503" spans="1:9" ht="12.75" customHeight="1" x14ac:dyDescent="0.2">
      <c r="C503" s="622" t="s">
        <v>619</v>
      </c>
      <c r="D503" s="620"/>
      <c r="E503" s="620"/>
      <c r="F503" s="620"/>
      <c r="G503" s="621"/>
      <c r="H503" s="307"/>
      <c r="I503" s="260"/>
    </row>
    <row r="504" spans="1:9" ht="12.75" customHeight="1" x14ac:dyDescent="0.2">
      <c r="C504" s="744" t="s">
        <v>615</v>
      </c>
      <c r="D504" s="620"/>
      <c r="E504" s="620"/>
      <c r="F504" s="620"/>
      <c r="G504" s="621"/>
      <c r="H504" s="307"/>
      <c r="I504" s="260"/>
    </row>
    <row r="505" spans="1:9" ht="12.75" customHeight="1" x14ac:dyDescent="0.2">
      <c r="C505" s="434"/>
      <c r="D505" s="556"/>
      <c r="E505" s="556"/>
      <c r="F505" s="556"/>
      <c r="G505" s="557"/>
      <c r="H505" s="307"/>
      <c r="I505" s="260"/>
    </row>
    <row r="506" spans="1:9" ht="12.75" customHeight="1" x14ac:dyDescent="0.2">
      <c r="C506" s="489" t="s">
        <v>620</v>
      </c>
      <c r="D506" s="556"/>
      <c r="E506" s="556"/>
      <c r="F506" s="556"/>
      <c r="G506" s="557"/>
      <c r="H506" s="307"/>
      <c r="I506" s="260"/>
    </row>
    <row r="507" spans="1:9" ht="12.75" customHeight="1" x14ac:dyDescent="0.2">
      <c r="C507" s="743" t="s">
        <v>613</v>
      </c>
      <c r="D507" s="556"/>
      <c r="E507" s="556"/>
      <c r="F507" s="556"/>
      <c r="G507" s="557"/>
      <c r="H507" s="307"/>
      <c r="I507" s="260"/>
    </row>
    <row r="508" spans="1:9" ht="12.75" customHeight="1" x14ac:dyDescent="0.2">
      <c r="C508" s="434"/>
      <c r="D508" s="556"/>
      <c r="E508" s="556"/>
      <c r="F508" s="556"/>
      <c r="G508" s="557"/>
      <c r="H508" s="307"/>
      <c r="I508" s="260"/>
    </row>
    <row r="509" spans="1:9" ht="12.75" customHeight="1" x14ac:dyDescent="0.2">
      <c r="C509" s="758"/>
      <c r="D509" s="759"/>
      <c r="E509" s="759"/>
      <c r="F509" s="759"/>
      <c r="G509" s="760"/>
      <c r="H509" s="307"/>
      <c r="I509" s="260"/>
    </row>
    <row r="510" spans="1:9" ht="12.75" customHeight="1" x14ac:dyDescent="0.2">
      <c r="C510" s="758"/>
      <c r="D510" s="759"/>
      <c r="E510" s="759"/>
      <c r="F510" s="759"/>
      <c r="G510" s="760"/>
      <c r="H510" s="307"/>
      <c r="I510" s="260"/>
    </row>
    <row r="511" spans="1:9" ht="12.75" customHeight="1" x14ac:dyDescent="0.2">
      <c r="C511" s="758"/>
      <c r="D511" s="759"/>
      <c r="E511" s="759"/>
      <c r="F511" s="759"/>
      <c r="G511" s="760"/>
      <c r="H511" s="307"/>
      <c r="I511" s="260"/>
    </row>
    <row r="512" spans="1:9" ht="26.45" customHeight="1" x14ac:dyDescent="0.2">
      <c r="C512" s="758"/>
      <c r="D512" s="759"/>
      <c r="E512" s="759"/>
      <c r="F512" s="759"/>
      <c r="G512" s="760"/>
      <c r="H512" s="307"/>
      <c r="I512" s="260"/>
    </row>
    <row r="513" spans="3:11" ht="12.75" customHeight="1" x14ac:dyDescent="0.2">
      <c r="C513" s="434"/>
      <c r="D513" s="556"/>
      <c r="E513" s="556"/>
      <c r="F513" s="556"/>
      <c r="G513" s="557"/>
      <c r="H513" s="307"/>
      <c r="I513" s="260"/>
    </row>
    <row r="514" spans="3:11" ht="12.75" customHeight="1" thickBot="1" x14ac:dyDescent="0.25">
      <c r="C514" s="428"/>
      <c r="D514" s="415"/>
      <c r="E514" s="415"/>
      <c r="F514" s="415"/>
      <c r="G514" s="549"/>
      <c r="H514" s="307"/>
      <c r="I514" s="260"/>
    </row>
    <row r="515" spans="3:11" ht="12.75" customHeight="1" x14ac:dyDescent="0.2">
      <c r="H515" s="307"/>
      <c r="I515" s="260"/>
    </row>
    <row r="516" spans="3:11" ht="12.75" customHeight="1" x14ac:dyDescent="0.2">
      <c r="H516" s="307"/>
      <c r="I516" s="260"/>
    </row>
    <row r="517" spans="3:11" ht="12.75" customHeight="1" x14ac:dyDescent="0.2">
      <c r="H517" s="307"/>
      <c r="I517" s="260"/>
    </row>
    <row r="518" spans="3:11" ht="12.75" customHeight="1" x14ac:dyDescent="0.2">
      <c r="H518" s="307"/>
      <c r="I518" s="260"/>
    </row>
    <row r="519" spans="3:11" ht="12.75" customHeight="1" x14ac:dyDescent="0.2">
      <c r="H519" s="307"/>
      <c r="I519" s="260"/>
    </row>
    <row r="520" spans="3:11" ht="12.75" customHeight="1" x14ac:dyDescent="0.2">
      <c r="H520" s="307"/>
      <c r="I520" s="260"/>
    </row>
    <row r="521" spans="3:11" ht="12.75" customHeight="1" x14ac:dyDescent="0.2">
      <c r="H521" s="307"/>
      <c r="I521" s="260"/>
    </row>
    <row r="522" spans="3:11" ht="12.75" customHeight="1" x14ac:dyDescent="0.2">
      <c r="H522" s="307"/>
      <c r="I522" s="260"/>
    </row>
    <row r="523" spans="3:11" ht="12.75" customHeight="1" x14ac:dyDescent="0.2">
      <c r="H523" s="307"/>
      <c r="I523" s="260"/>
    </row>
    <row r="524" spans="3:11" ht="12.75" customHeight="1" x14ac:dyDescent="0.2">
      <c r="H524" s="251"/>
    </row>
    <row r="525" spans="3:11" ht="12.75" customHeight="1" x14ac:dyDescent="0.2">
      <c r="E525" s="295"/>
      <c r="F525" s="188"/>
    </row>
    <row r="526" spans="3:11" ht="12.75" customHeight="1" x14ac:dyDescent="0.2">
      <c r="E526" s="295"/>
      <c r="F526" s="188"/>
    </row>
    <row r="528" spans="3:11" ht="12.75" customHeight="1" x14ac:dyDescent="0.2">
      <c r="K528" s="295"/>
    </row>
    <row r="529" spans="8:11" ht="12.75" customHeight="1" x14ac:dyDescent="0.2">
      <c r="K529" s="295"/>
    </row>
    <row r="535" spans="8:11" ht="12.75" customHeight="1" x14ac:dyDescent="0.2">
      <c r="H535" s="188"/>
    </row>
    <row r="536" spans="8:11" ht="12.75" customHeight="1" x14ac:dyDescent="0.2">
      <c r="H536" s="188"/>
    </row>
  </sheetData>
  <mergeCells count="3">
    <mergeCell ref="F3:G3"/>
    <mergeCell ref="C498:G498"/>
    <mergeCell ref="C509:G512"/>
  </mergeCells>
  <conditionalFormatting sqref="A12:A461">
    <cfRule type="cellIs" dxfId="20" priority="1" operator="equal">
      <formula>0</formula>
    </cfRule>
  </conditionalFormatting>
  <conditionalFormatting sqref="A478">
    <cfRule type="cellIs" dxfId="19" priority="178" operator="equal">
      <formula>0</formula>
    </cfRule>
  </conditionalFormatting>
  <conditionalFormatting sqref="A486">
    <cfRule type="cellIs" dxfId="18" priority="307" operator="equal">
      <formula>0</formula>
    </cfRule>
  </conditionalFormatting>
  <conditionalFormatting sqref="H480:H488 H490:H498">
    <cfRule type="cellIs" dxfId="17" priority="301" stopIfTrue="1" operator="notEqual">
      <formula>0</formula>
    </cfRule>
    <cfRule type="cellIs" dxfId="16" priority="302" stopIfTrue="1" operator="equal">
      <formula>0</formula>
    </cfRule>
  </conditionalFormatting>
  <conditionalFormatting sqref="H500:H502">
    <cfRule type="cellIs" dxfId="15" priority="299" stopIfTrue="1" operator="notEqual">
      <formula>0</formula>
    </cfRule>
    <cfRule type="cellIs" dxfId="14" priority="300" stopIfTrue="1" operator="equal">
      <formula>0</formula>
    </cfRule>
  </conditionalFormatting>
  <pageMargins left="1" right="0.1" top="0.5" bottom="0.5" header="0" footer="0.1"/>
  <pageSetup fitToHeight="0" orientation="landscape" r:id="rId1"/>
  <headerFooter>
    <oddFooter>&amp;L&amp;8&amp;Z&amp;F&amp;R&amp;8&amp;P / &amp;N</oddFooter>
  </headerFooter>
  <ignoredErrors>
    <ignoredError sqref="B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Z63"/>
  <sheetViews>
    <sheetView workbookViewId="0">
      <selection activeCell="L63" sqref="L63"/>
    </sheetView>
  </sheetViews>
  <sheetFormatPr defaultColWidth="9.140625" defaultRowHeight="12.75" x14ac:dyDescent="0.2"/>
  <cols>
    <col min="1" max="1" width="4" style="188" bestFit="1" customWidth="1"/>
    <col min="2" max="2" width="6" style="188" customWidth="1"/>
    <col min="3" max="3" width="36.28515625" style="188" bestFit="1" customWidth="1"/>
    <col min="4" max="4" width="4" style="191" bestFit="1" customWidth="1"/>
    <col min="5" max="5" width="4.28515625" style="191" bestFit="1" customWidth="1"/>
    <col min="6" max="7" width="9.140625" style="188"/>
    <col min="8" max="8" width="2.7109375" style="188" customWidth="1"/>
    <col min="9" max="10" width="14.5703125" style="188" bestFit="1" customWidth="1"/>
    <col min="11" max="11" width="13.140625" style="188" bestFit="1" customWidth="1"/>
    <col min="12" max="13" width="14.5703125" style="188" bestFit="1" customWidth="1"/>
    <col min="14" max="14" width="2.7109375" style="188" customWidth="1"/>
    <col min="15" max="15" width="10" style="188" bestFit="1" customWidth="1"/>
    <col min="16" max="16" width="2.7109375" style="188" customWidth="1"/>
    <col min="17" max="17" width="11" style="238" bestFit="1" customWidth="1"/>
    <col min="18" max="18" width="8.140625" style="238" bestFit="1" customWidth="1"/>
    <col min="19" max="19" width="10" style="238" bestFit="1" customWidth="1"/>
    <col min="20" max="20" width="2.7109375" style="188" customWidth="1"/>
    <col min="21" max="21" width="9.140625" style="188"/>
    <col min="22" max="23" width="10" style="188" bestFit="1" customWidth="1"/>
    <col min="24" max="16384" width="9.140625" style="188"/>
  </cols>
  <sheetData>
    <row r="4" spans="1:23" x14ac:dyDescent="0.2">
      <c r="D4" s="316"/>
      <c r="E4" s="325">
        <v>0.75</v>
      </c>
      <c r="F4" s="316" t="s">
        <v>289</v>
      </c>
      <c r="G4" s="316" t="s">
        <v>291</v>
      </c>
      <c r="H4" s="317"/>
      <c r="I4" s="750" t="s">
        <v>290</v>
      </c>
      <c r="J4" s="751"/>
      <c r="K4" s="751"/>
      <c r="L4" s="752"/>
      <c r="M4" s="316" t="s">
        <v>312</v>
      </c>
      <c r="N4" s="194"/>
      <c r="Q4" s="761" t="s">
        <v>325</v>
      </c>
      <c r="R4" s="761"/>
      <c r="S4" s="761"/>
      <c r="U4" s="762" t="s">
        <v>310</v>
      </c>
      <c r="V4" s="762"/>
      <c r="W4" s="762"/>
    </row>
    <row r="5" spans="1:23" x14ac:dyDescent="0.2">
      <c r="A5" s="188" t="s">
        <v>328</v>
      </c>
      <c r="B5" s="188" t="s">
        <v>328</v>
      </c>
      <c r="C5" s="188" t="s">
        <v>328</v>
      </c>
      <c r="D5" s="318" t="s">
        <v>304</v>
      </c>
      <c r="E5" s="318" t="s">
        <v>303</v>
      </c>
      <c r="F5" s="318" t="s">
        <v>291</v>
      </c>
      <c r="G5" s="433" t="s">
        <v>422</v>
      </c>
      <c r="H5" s="317" t="s">
        <v>328</v>
      </c>
      <c r="I5" s="233" t="s">
        <v>292</v>
      </c>
      <c r="J5" s="233" t="s">
        <v>421</v>
      </c>
      <c r="K5" s="233" t="s">
        <v>293</v>
      </c>
      <c r="L5" s="319" t="s">
        <v>294</v>
      </c>
      <c r="M5" s="721" t="s">
        <v>313</v>
      </c>
      <c r="N5" s="194" t="s">
        <v>328</v>
      </c>
      <c r="O5" s="233" t="s">
        <v>305</v>
      </c>
      <c r="P5" s="188" t="s">
        <v>328</v>
      </c>
      <c r="Q5" s="328" t="s">
        <v>306</v>
      </c>
      <c r="R5" s="328" t="s">
        <v>307</v>
      </c>
      <c r="S5" s="328" t="s">
        <v>308</v>
      </c>
      <c r="T5" s="188" t="s">
        <v>328</v>
      </c>
      <c r="U5" s="233" t="s">
        <v>304</v>
      </c>
      <c r="V5" s="233" t="s">
        <v>309</v>
      </c>
      <c r="W5" s="233" t="s">
        <v>311</v>
      </c>
    </row>
    <row r="6" spans="1:23" x14ac:dyDescent="0.2">
      <c r="A6" s="191">
        <v>1</v>
      </c>
      <c r="B6" s="727" t="s">
        <v>584</v>
      </c>
      <c r="C6" s="321" t="s">
        <v>587</v>
      </c>
      <c r="D6" s="377">
        <v>0</v>
      </c>
      <c r="E6" s="377"/>
      <c r="F6" s="329">
        <f>-K6/I6</f>
        <v>4.8140607673268422E-2</v>
      </c>
      <c r="G6" s="432">
        <f>-K6/J6</f>
        <v>5.0000015162036192E-2</v>
      </c>
      <c r="H6" s="322"/>
      <c r="I6" s="330">
        <f>'0040'!I$128</f>
        <v>308257.42999999993</v>
      </c>
      <c r="J6" s="330">
        <f>I6-'0040'!I$53</f>
        <v>296793.90999999992</v>
      </c>
      <c r="K6" s="330">
        <f>'0040'!I$135</f>
        <v>-14839.7</v>
      </c>
      <c r="L6" s="330">
        <f>I6+K6</f>
        <v>293417.72999999992</v>
      </c>
      <c r="M6" s="331">
        <f>'0040'!I$145</f>
        <v>24451.48</v>
      </c>
      <c r="N6" s="201"/>
      <c r="O6" s="330">
        <f>'0040'!E30</f>
        <v>36</v>
      </c>
      <c r="Q6" s="331">
        <f>I6/O6</f>
        <v>8562.7063888888879</v>
      </c>
      <c r="R6" s="331">
        <f>K6/O6</f>
        <v>-412.2138888888889</v>
      </c>
      <c r="S6" s="331">
        <f>L6/O6</f>
        <v>8150.4924999999976</v>
      </c>
      <c r="U6" s="331">
        <f>IF(D6="H",S6,0)</f>
        <v>0</v>
      </c>
      <c r="V6" s="331">
        <f t="shared" ref="V6:V7" si="0">ROUND(IF(E6=1,S6,0),2)</f>
        <v>0</v>
      </c>
      <c r="W6" s="331">
        <f t="shared" ref="W6:W7" si="1">IF(AND(U6=0,V6=0),S6,)</f>
        <v>8150.4924999999976</v>
      </c>
    </row>
    <row r="7" spans="1:23" x14ac:dyDescent="0.2">
      <c r="A7" s="191">
        <v>2</v>
      </c>
      <c r="B7" s="728" t="s">
        <v>585</v>
      </c>
      <c r="C7" s="188" t="s">
        <v>588</v>
      </c>
      <c r="D7" s="377">
        <v>0</v>
      </c>
      <c r="E7" s="694"/>
      <c r="F7" s="329">
        <f>-K7/I7</f>
        <v>1.5267119092827169E-2</v>
      </c>
      <c r="G7" s="432">
        <f t="shared" ref="G7:G56" si="2">-K7/J7</f>
        <v>1.5906912996584536E-2</v>
      </c>
      <c r="H7" s="694"/>
      <c r="I7" s="330">
        <f>'0100'!I$128</f>
        <v>271664.21999999997</v>
      </c>
      <c r="J7" s="330">
        <f>I7-'0100'!I$53</f>
        <v>260737.57999999996</v>
      </c>
      <c r="K7" s="330">
        <f>'0100'!I$135</f>
        <v>-4147.53</v>
      </c>
      <c r="L7" s="330">
        <f>I7+K7</f>
        <v>267516.68999999994</v>
      </c>
      <c r="M7" s="331">
        <f>'0100'!I$145</f>
        <v>22293.06</v>
      </c>
      <c r="N7" s="194"/>
      <c r="O7" s="703">
        <f>'0100'!E30</f>
        <v>11</v>
      </c>
      <c r="Q7" s="331">
        <f>I7/O7</f>
        <v>24696.747272727269</v>
      </c>
      <c r="R7" s="331">
        <f t="shared" ref="R7:R50" si="3">K7/O7</f>
        <v>-377.04818181818177</v>
      </c>
      <c r="S7" s="331">
        <f>L7/O7</f>
        <v>24319.699090909085</v>
      </c>
      <c r="U7" s="331">
        <f>IF(D7="H",S7,0)</f>
        <v>0</v>
      </c>
      <c r="V7" s="331">
        <f t="shared" si="0"/>
        <v>0</v>
      </c>
      <c r="W7" s="331">
        <f t="shared" si="1"/>
        <v>24319.699090909085</v>
      </c>
    </row>
    <row r="8" spans="1:23" x14ac:dyDescent="0.2">
      <c r="A8" s="191">
        <v>3</v>
      </c>
      <c r="B8" s="729" t="s">
        <v>158</v>
      </c>
      <c r="C8" s="321" t="s">
        <v>190</v>
      </c>
      <c r="D8" s="377" t="str">
        <f>'1461'!G$135</f>
        <v>H</v>
      </c>
      <c r="E8" s="377" t="str">
        <f>'1461'!H$133</f>
        <v/>
      </c>
      <c r="F8" s="329">
        <f>-K8/I8</f>
        <v>6.7961528722461128E-3</v>
      </c>
      <c r="G8" s="432">
        <f t="shared" si="2"/>
        <v>7.1491897124487079E-3</v>
      </c>
      <c r="H8" s="322"/>
      <c r="I8" s="330">
        <f>'1461'!I$128</f>
        <v>5864637.0600000005</v>
      </c>
      <c r="J8" s="330">
        <f>I8-'1461'!I$53</f>
        <v>5575033.2000000002</v>
      </c>
      <c r="K8" s="330">
        <f>'1461'!I$135</f>
        <v>-39856.97</v>
      </c>
      <c r="L8" s="330">
        <f>I8+K8</f>
        <v>5824780.0900000008</v>
      </c>
      <c r="M8" s="331">
        <f>'1461'!I$145</f>
        <v>485398.34</v>
      </c>
      <c r="N8" s="201"/>
      <c r="O8" s="330">
        <f>'1461'!E$30</f>
        <v>699.38</v>
      </c>
      <c r="Q8" s="331">
        <f>I8/O8</f>
        <v>8385.4800823586611</v>
      </c>
      <c r="R8" s="331">
        <f t="shared" si="3"/>
        <v>-56.989004546884388</v>
      </c>
      <c r="S8" s="331">
        <f t="shared" ref="S8:S50" si="4">L8/O8</f>
        <v>8328.4910778117774</v>
      </c>
      <c r="U8" s="331">
        <f>IF(D8="H",S8,0)</f>
        <v>8328.4910778117774</v>
      </c>
      <c r="V8" s="331">
        <f t="shared" ref="V8:V54" si="5">ROUND(IF(E8=1,S8,0),2)</f>
        <v>0</v>
      </c>
      <c r="W8" s="331">
        <f t="shared" ref="W8:W50" si="6">IF(AND(U8=0,V8=0),S8,)</f>
        <v>0</v>
      </c>
    </row>
    <row r="9" spans="1:23" x14ac:dyDescent="0.2">
      <c r="A9" s="191">
        <v>4</v>
      </c>
      <c r="B9" s="729" t="s">
        <v>159</v>
      </c>
      <c r="C9" s="321" t="s">
        <v>192</v>
      </c>
      <c r="D9" s="377" t="str">
        <f>'1571'!G$135</f>
        <v>H</v>
      </c>
      <c r="E9" s="377" t="str">
        <f>'1571'!H$133</f>
        <v/>
      </c>
      <c r="F9" s="329">
        <f t="shared" ref="F9:F51" si="7">-K9/I9</f>
        <v>4.3038297869658435E-3</v>
      </c>
      <c r="G9" s="432">
        <f t="shared" si="2"/>
        <v>4.4857528386942364E-3</v>
      </c>
      <c r="H9" s="322"/>
      <c r="I9" s="330">
        <f>'1571'!I$128</f>
        <v>9583222.8599999994</v>
      </c>
      <c r="J9" s="330">
        <f>I9-'1571'!I$53</f>
        <v>9194568.1099999994</v>
      </c>
      <c r="K9" s="330">
        <f>'1571'!I$135</f>
        <v>-41244.559999999998</v>
      </c>
      <c r="L9" s="330">
        <f t="shared" ref="L9:L53" si="8">I9+K9</f>
        <v>9541978.2999999989</v>
      </c>
      <c r="M9" s="331">
        <f>'1571'!I$145</f>
        <v>795164.86</v>
      </c>
      <c r="N9" s="201"/>
      <c r="O9" s="330">
        <f>'1571'!E$30</f>
        <v>1114.6400000000001</v>
      </c>
      <c r="Q9" s="331">
        <f t="shared" ref="Q9:Q50" si="9">I9/O9</f>
        <v>8597.5946135074992</v>
      </c>
      <c r="R9" s="331">
        <f t="shared" si="3"/>
        <v>-37.002583793870663</v>
      </c>
      <c r="S9" s="331">
        <f t="shared" si="4"/>
        <v>8560.5920297136272</v>
      </c>
      <c r="U9" s="331">
        <f t="shared" ref="U9:U54" si="10">IF(D9="H",S9,0)</f>
        <v>8560.5920297136272</v>
      </c>
      <c r="V9" s="331">
        <f t="shared" si="5"/>
        <v>0</v>
      </c>
      <c r="W9" s="331">
        <f t="shared" si="6"/>
        <v>0</v>
      </c>
    </row>
    <row r="10" spans="1:23" x14ac:dyDescent="0.2">
      <c r="A10" s="191">
        <v>5</v>
      </c>
      <c r="B10" s="320" t="s">
        <v>160</v>
      </c>
      <c r="C10" s="321" t="s">
        <v>193</v>
      </c>
      <c r="D10" s="377">
        <f>'2521'!G$135</f>
        <v>0</v>
      </c>
      <c r="E10" s="377">
        <f>'2521'!H$133</f>
        <v>1</v>
      </c>
      <c r="F10" s="329">
        <f t="shared" si="7"/>
        <v>2.1071488268873097E-2</v>
      </c>
      <c r="G10" s="432">
        <f t="shared" si="2"/>
        <v>2.1638819722137156E-2</v>
      </c>
      <c r="H10" s="322"/>
      <c r="I10" s="330">
        <f>'2521'!I$128</f>
        <v>1375387.9</v>
      </c>
      <c r="J10" s="330">
        <f>I10-'2521'!I$53</f>
        <v>1339327.67</v>
      </c>
      <c r="K10" s="330">
        <f>'2521'!I$135</f>
        <v>-28981.47</v>
      </c>
      <c r="L10" s="330">
        <f t="shared" si="8"/>
        <v>1346406.43</v>
      </c>
      <c r="M10" s="331">
        <f>'2521'!I$145</f>
        <v>112200.54</v>
      </c>
      <c r="N10" s="201"/>
      <c r="O10" s="330">
        <f>'2521'!E$30</f>
        <v>74.16</v>
      </c>
      <c r="Q10" s="331">
        <f t="shared" si="9"/>
        <v>18546.223031283709</v>
      </c>
      <c r="R10" s="331">
        <f t="shared" si="3"/>
        <v>-390.79652103559874</v>
      </c>
      <c r="S10" s="331">
        <f t="shared" si="4"/>
        <v>18155.426510248111</v>
      </c>
      <c r="U10" s="331">
        <f t="shared" si="10"/>
        <v>0</v>
      </c>
      <c r="V10" s="331">
        <f t="shared" si="5"/>
        <v>18155.43</v>
      </c>
      <c r="W10" s="331">
        <f t="shared" si="6"/>
        <v>0</v>
      </c>
    </row>
    <row r="11" spans="1:23" x14ac:dyDescent="0.2">
      <c r="A11" s="191">
        <v>6</v>
      </c>
      <c r="B11" s="320" t="s">
        <v>161</v>
      </c>
      <c r="C11" s="321" t="s">
        <v>194</v>
      </c>
      <c r="D11" s="377">
        <f>'2531'!G$135</f>
        <v>0</v>
      </c>
      <c r="E11" s="377">
        <f>'2531'!H$133</f>
        <v>1</v>
      </c>
      <c r="F11" s="329">
        <f t="shared" si="7"/>
        <v>1.2264977614340538E-2</v>
      </c>
      <c r="G11" s="432">
        <f t="shared" si="2"/>
        <v>1.2832749717235482E-2</v>
      </c>
      <c r="H11" s="322"/>
      <c r="I11" s="330">
        <f>'2531'!I$128</f>
        <v>1560726.8599999999</v>
      </c>
      <c r="J11" s="330">
        <f>I11-'2531'!I$53</f>
        <v>1491674.0699999998</v>
      </c>
      <c r="K11" s="330">
        <f>'2531'!I$135</f>
        <v>-19142.28</v>
      </c>
      <c r="L11" s="330">
        <f t="shared" si="8"/>
        <v>1541584.5799999998</v>
      </c>
      <c r="M11" s="331">
        <f>'2531'!I$145</f>
        <v>128465.38</v>
      </c>
      <c r="N11" s="201"/>
      <c r="O11" s="330">
        <f>'2531'!E$30</f>
        <v>49</v>
      </c>
      <c r="Q11" s="331">
        <f t="shared" si="9"/>
        <v>31851.568571428568</v>
      </c>
      <c r="R11" s="331">
        <f t="shared" si="3"/>
        <v>-390.65877551020407</v>
      </c>
      <c r="S11" s="331">
        <f t="shared" si="4"/>
        <v>31460.909795918364</v>
      </c>
      <c r="U11" s="331">
        <f t="shared" si="10"/>
        <v>0</v>
      </c>
      <c r="V11" s="331">
        <f t="shared" si="5"/>
        <v>31460.91</v>
      </c>
      <c r="W11" s="331">
        <f t="shared" si="6"/>
        <v>0</v>
      </c>
    </row>
    <row r="12" spans="1:23" x14ac:dyDescent="0.2">
      <c r="A12" s="191">
        <v>7</v>
      </c>
      <c r="B12" s="727" t="s">
        <v>162</v>
      </c>
      <c r="C12" s="321" t="s">
        <v>295</v>
      </c>
      <c r="D12" s="377">
        <f>'2791'!G$135</f>
        <v>0</v>
      </c>
      <c r="E12" s="377">
        <f>'2791'!H$133</f>
        <v>1</v>
      </c>
      <c r="F12" s="329">
        <f t="shared" si="7"/>
        <v>1.1570442560887456E-2</v>
      </c>
      <c r="G12" s="432">
        <f t="shared" si="2"/>
        <v>1.2063614250053444E-2</v>
      </c>
      <c r="H12" s="322"/>
      <c r="I12" s="330">
        <f>'2791'!I$128</f>
        <v>5344828.3999999994</v>
      </c>
      <c r="J12" s="330">
        <f>I12-'2791'!I$53</f>
        <v>5126326.879999999</v>
      </c>
      <c r="K12" s="330">
        <f>'2791'!I$135</f>
        <v>-61842.03</v>
      </c>
      <c r="L12" s="330">
        <f t="shared" si="8"/>
        <v>5282986.3699999992</v>
      </c>
      <c r="M12" s="331">
        <f>'2791'!I$145</f>
        <v>440248.86</v>
      </c>
      <c r="N12" s="201"/>
      <c r="O12" s="330">
        <f>'2791'!E$30</f>
        <v>164</v>
      </c>
      <c r="Q12" s="331">
        <f t="shared" si="9"/>
        <v>32590.417073170727</v>
      </c>
      <c r="R12" s="331">
        <f t="shared" si="3"/>
        <v>-377.08554878048778</v>
      </c>
      <c r="S12" s="331">
        <f t="shared" si="4"/>
        <v>32213.33152439024</v>
      </c>
      <c r="U12" s="331">
        <f t="shared" si="10"/>
        <v>0</v>
      </c>
      <c r="V12" s="331">
        <f t="shared" si="5"/>
        <v>32213.33</v>
      </c>
      <c r="W12" s="331">
        <f t="shared" si="6"/>
        <v>0</v>
      </c>
    </row>
    <row r="13" spans="1:23" x14ac:dyDescent="0.2">
      <c r="A13" s="191">
        <v>8</v>
      </c>
      <c r="B13" s="320" t="s">
        <v>163</v>
      </c>
      <c r="C13" s="323" t="s">
        <v>415</v>
      </c>
      <c r="D13" s="377">
        <f>'2801'!G$135</f>
        <v>0</v>
      </c>
      <c r="E13" s="377" t="str">
        <f>'2801'!H$133</f>
        <v/>
      </c>
      <c r="F13" s="329">
        <f t="shared" si="7"/>
        <v>2.0613711340965579E-2</v>
      </c>
      <c r="G13" s="432">
        <f t="shared" si="2"/>
        <v>2.1588946774219353E-2</v>
      </c>
      <c r="H13" s="322"/>
      <c r="I13" s="330">
        <f>'2801'!I$128</f>
        <v>5314894.4499999993</v>
      </c>
      <c r="J13" s="330">
        <f>I13-'2801'!I$53</f>
        <v>5074805.2299999995</v>
      </c>
      <c r="K13" s="330">
        <f>'2801'!I$135</f>
        <v>-109559.7</v>
      </c>
      <c r="L13" s="330">
        <f t="shared" si="8"/>
        <v>5205334.7499999991</v>
      </c>
      <c r="M13" s="331">
        <f>'2801'!I$145</f>
        <v>433777.9</v>
      </c>
      <c r="N13" s="201"/>
      <c r="O13" s="330">
        <f>'2801'!E$30</f>
        <v>579</v>
      </c>
      <c r="Q13" s="331">
        <f t="shared" si="9"/>
        <v>9179.437737478409</v>
      </c>
      <c r="R13" s="331">
        <f t="shared" si="3"/>
        <v>-189.22227979274612</v>
      </c>
      <c r="S13" s="331">
        <f t="shared" si="4"/>
        <v>8990.2154576856628</v>
      </c>
      <c r="U13" s="331">
        <f t="shared" si="10"/>
        <v>0</v>
      </c>
      <c r="V13" s="331">
        <f t="shared" si="5"/>
        <v>0</v>
      </c>
      <c r="W13" s="331">
        <f t="shared" si="6"/>
        <v>8990.2154576856628</v>
      </c>
    </row>
    <row r="14" spans="1:23" x14ac:dyDescent="0.2">
      <c r="A14" s="191">
        <v>9</v>
      </c>
      <c r="B14" s="320" t="s">
        <v>164</v>
      </c>
      <c r="C14" s="321" t="s">
        <v>196</v>
      </c>
      <c r="D14" s="377" t="str">
        <f>'2911'!G$135</f>
        <v>H</v>
      </c>
      <c r="E14" s="377" t="str">
        <f>'2911'!H$133</f>
        <v/>
      </c>
      <c r="F14" s="329">
        <f t="shared" si="7"/>
        <v>6.7669001938040875E-3</v>
      </c>
      <c r="G14" s="432">
        <f t="shared" si="2"/>
        <v>7.0547733534678985E-3</v>
      </c>
      <c r="H14" s="322"/>
      <c r="I14" s="330">
        <f>'2911'!I$128</f>
        <v>6104499.6700000018</v>
      </c>
      <c r="J14" s="330">
        <f>I14-'2911'!I$53</f>
        <v>5855402.8500000015</v>
      </c>
      <c r="K14" s="330">
        <f>'2911'!I$135</f>
        <v>-41308.54</v>
      </c>
      <c r="L14" s="330">
        <f t="shared" si="8"/>
        <v>6063191.1300000018</v>
      </c>
      <c r="M14" s="331">
        <f>'2911'!I$145</f>
        <v>505265.93</v>
      </c>
      <c r="N14" s="201"/>
      <c r="O14" s="330">
        <f>'2911'!E$30</f>
        <v>708.74</v>
      </c>
      <c r="Q14" s="331">
        <f t="shared" si="9"/>
        <v>8613.1722070152682</v>
      </c>
      <c r="R14" s="331">
        <f t="shared" si="3"/>
        <v>-58.284476676919603</v>
      </c>
      <c r="S14" s="331">
        <f t="shared" si="4"/>
        <v>8554.8877303383488</v>
      </c>
      <c r="U14" s="331">
        <f t="shared" si="10"/>
        <v>8554.8877303383488</v>
      </c>
      <c r="V14" s="331">
        <f t="shared" si="5"/>
        <v>0</v>
      </c>
      <c r="W14" s="331">
        <f t="shared" si="6"/>
        <v>0</v>
      </c>
    </row>
    <row r="15" spans="1:23" x14ac:dyDescent="0.2">
      <c r="A15" s="191">
        <v>10</v>
      </c>
      <c r="B15" s="320" t="s">
        <v>165</v>
      </c>
      <c r="C15" s="321" t="s">
        <v>197</v>
      </c>
      <c r="D15" s="377">
        <f>'2941'!G$135</f>
        <v>0</v>
      </c>
      <c r="E15" s="377">
        <f>'2941'!H$133</f>
        <v>1</v>
      </c>
      <c r="F15" s="329">
        <f t="shared" si="7"/>
        <v>9.0571102836916207E-3</v>
      </c>
      <c r="G15" s="432">
        <f t="shared" si="2"/>
        <v>9.4930683414279019E-3</v>
      </c>
      <c r="H15" s="322"/>
      <c r="I15" s="330">
        <f>'2941'!I$128</f>
        <v>10400582.199999997</v>
      </c>
      <c r="J15" s="330">
        <f>I15-'2941'!I$53</f>
        <v>9922947.6299999971</v>
      </c>
      <c r="K15" s="330">
        <f>'2941'!I$135</f>
        <v>-94199.22</v>
      </c>
      <c r="L15" s="330">
        <f t="shared" si="8"/>
        <v>10306382.979999997</v>
      </c>
      <c r="M15" s="331">
        <f>'2941'!I$145</f>
        <v>858865.25</v>
      </c>
      <c r="N15" s="201"/>
      <c r="O15" s="330">
        <f>'2941'!E$30</f>
        <v>381</v>
      </c>
      <c r="Q15" s="331">
        <f t="shared" si="9"/>
        <v>27298.116010498681</v>
      </c>
      <c r="R15" s="331">
        <f t="shared" si="3"/>
        <v>-247.24204724409449</v>
      </c>
      <c r="S15" s="331">
        <f t="shared" si="4"/>
        <v>27050.873963254584</v>
      </c>
      <c r="U15" s="331">
        <f t="shared" si="10"/>
        <v>0</v>
      </c>
      <c r="V15" s="331">
        <f t="shared" si="5"/>
        <v>27050.87</v>
      </c>
      <c r="W15" s="331">
        <f t="shared" si="6"/>
        <v>0</v>
      </c>
    </row>
    <row r="16" spans="1:23" x14ac:dyDescent="0.2">
      <c r="A16" s="191">
        <v>11</v>
      </c>
      <c r="B16" s="320" t="s">
        <v>166</v>
      </c>
      <c r="C16" s="323" t="s">
        <v>427</v>
      </c>
      <c r="D16" s="377">
        <f>'3083'!G$135</f>
        <v>0</v>
      </c>
      <c r="E16" s="377">
        <f>'3083'!H$133</f>
        <v>1</v>
      </c>
      <c r="F16" s="329">
        <f t="shared" si="7"/>
        <v>1.0305739856650894E-2</v>
      </c>
      <c r="G16" s="432">
        <f t="shared" si="2"/>
        <v>1.0750187286630367E-2</v>
      </c>
      <c r="H16" s="322"/>
      <c r="I16" s="330">
        <f>'3083'!I$128</f>
        <v>5878906.3999999985</v>
      </c>
      <c r="J16" s="330">
        <f>I16-'3083'!I$53</f>
        <v>5635853.4399999985</v>
      </c>
      <c r="K16" s="330">
        <f>'3083'!I$135</f>
        <v>-60586.48</v>
      </c>
      <c r="L16" s="330">
        <f t="shared" si="8"/>
        <v>5818319.9199999981</v>
      </c>
      <c r="M16" s="331">
        <f>'3083'!I$145</f>
        <v>484859.99</v>
      </c>
      <c r="N16" s="201"/>
      <c r="O16" s="330">
        <f>'3083'!E$30</f>
        <v>161</v>
      </c>
      <c r="Q16" s="331">
        <f t="shared" si="9"/>
        <v>36514.94658385092</v>
      </c>
      <c r="R16" s="331">
        <f t="shared" si="3"/>
        <v>-376.31354037267084</v>
      </c>
      <c r="S16" s="331">
        <f t="shared" si="4"/>
        <v>36138.63304347825</v>
      </c>
      <c r="U16" s="331">
        <f t="shared" si="10"/>
        <v>0</v>
      </c>
      <c r="V16" s="331">
        <f t="shared" si="5"/>
        <v>36138.629999999997</v>
      </c>
      <c r="W16" s="331">
        <f t="shared" si="6"/>
        <v>0</v>
      </c>
    </row>
    <row r="17" spans="1:26" x14ac:dyDescent="0.2">
      <c r="A17" s="191">
        <v>12</v>
      </c>
      <c r="B17" s="320" t="s">
        <v>167</v>
      </c>
      <c r="C17" s="323" t="s">
        <v>426</v>
      </c>
      <c r="D17" s="378">
        <f>'3345'!G$135</f>
        <v>0</v>
      </c>
      <c r="E17" s="378">
        <f>'3345'!H$133</f>
        <v>1</v>
      </c>
      <c r="F17" s="329">
        <f t="shared" si="7"/>
        <v>2.7690374556660364E-2</v>
      </c>
      <c r="G17" s="432">
        <f t="shared" si="2"/>
        <v>2.8355875279506018E-2</v>
      </c>
      <c r="H17" s="322"/>
      <c r="I17" s="330">
        <f>'3345'!I$128</f>
        <v>1115939.0400000003</v>
      </c>
      <c r="J17" s="330">
        <f>I17-'3345'!I$53</f>
        <v>1089748.4100000004</v>
      </c>
      <c r="K17" s="330">
        <f>'3345'!I$135</f>
        <v>-30900.77</v>
      </c>
      <c r="L17" s="330">
        <f t="shared" si="8"/>
        <v>1085038.2700000003</v>
      </c>
      <c r="M17" s="331">
        <f>'3345'!I$145</f>
        <v>90419.86</v>
      </c>
      <c r="N17" s="201"/>
      <c r="O17" s="330">
        <f>'3345'!E$30</f>
        <v>77</v>
      </c>
      <c r="Q17" s="331">
        <f t="shared" si="9"/>
        <v>14492.714805194808</v>
      </c>
      <c r="R17" s="331">
        <f t="shared" si="3"/>
        <v>-401.30870129870129</v>
      </c>
      <c r="S17" s="331">
        <f t="shared" si="4"/>
        <v>14091.406103896106</v>
      </c>
      <c r="U17" s="331">
        <f t="shared" si="10"/>
        <v>0</v>
      </c>
      <c r="V17" s="331">
        <f t="shared" si="5"/>
        <v>14091.41</v>
      </c>
      <c r="W17" s="331">
        <f t="shared" si="6"/>
        <v>0</v>
      </c>
      <c r="Z17" s="295"/>
    </row>
    <row r="18" spans="1:26" x14ac:dyDescent="0.2">
      <c r="A18" s="191">
        <v>13</v>
      </c>
      <c r="B18" s="320" t="s">
        <v>168</v>
      </c>
      <c r="C18" s="321" t="s">
        <v>200</v>
      </c>
      <c r="D18" s="377" t="str">
        <f>'3381'!G$135</f>
        <v>H</v>
      </c>
      <c r="E18" s="377" t="str">
        <f>'3381'!H$133</f>
        <v/>
      </c>
      <c r="F18" s="329">
        <f t="shared" si="7"/>
        <v>4.5595696260431161E-3</v>
      </c>
      <c r="G18" s="432">
        <f t="shared" si="2"/>
        <v>4.7755490124430739E-3</v>
      </c>
      <c r="H18" s="322"/>
      <c r="I18" s="330">
        <f>'3381'!I$128</f>
        <v>9052001.2599999979</v>
      </c>
      <c r="J18" s="330">
        <f>I18-'3381'!I$53</f>
        <v>8642614.6799999978</v>
      </c>
      <c r="K18" s="330">
        <f>'3381'!I$135</f>
        <v>-41273.230000000003</v>
      </c>
      <c r="L18" s="330">
        <f t="shared" si="8"/>
        <v>9010728.0299999975</v>
      </c>
      <c r="M18" s="331">
        <f>'3381'!I$145</f>
        <v>750894</v>
      </c>
      <c r="N18" s="201"/>
      <c r="O18" s="330">
        <f>'3381'!E$30</f>
        <v>1047</v>
      </c>
      <c r="Q18" s="331">
        <f t="shared" si="9"/>
        <v>8645.655453677171</v>
      </c>
      <c r="R18" s="331">
        <f t="shared" si="3"/>
        <v>-39.420468003820446</v>
      </c>
      <c r="S18" s="331">
        <f t="shared" si="4"/>
        <v>8606.2349856733508</v>
      </c>
      <c r="U18" s="331">
        <f t="shared" si="10"/>
        <v>8606.2349856733508</v>
      </c>
      <c r="V18" s="331">
        <f t="shared" si="5"/>
        <v>0</v>
      </c>
      <c r="W18" s="331">
        <f t="shared" si="6"/>
        <v>0</v>
      </c>
      <c r="Z18" s="295"/>
    </row>
    <row r="19" spans="1:26" x14ac:dyDescent="0.2">
      <c r="A19" s="191">
        <v>14</v>
      </c>
      <c r="B19" s="320" t="s">
        <v>169</v>
      </c>
      <c r="C19" s="321" t="s">
        <v>202</v>
      </c>
      <c r="D19" s="377">
        <f>'3382'!G$135</f>
        <v>0</v>
      </c>
      <c r="E19" s="377" t="str">
        <f>'3382'!H$133</f>
        <v/>
      </c>
      <c r="F19" s="329">
        <f t="shared" si="7"/>
        <v>4.4304194412802929E-2</v>
      </c>
      <c r="G19" s="432">
        <f t="shared" si="2"/>
        <v>4.6125463171845557E-2</v>
      </c>
      <c r="H19" s="322"/>
      <c r="I19" s="330">
        <f>'3382'!I$128</f>
        <v>2504734.63</v>
      </c>
      <c r="J19" s="330">
        <f>I19-'3382'!I$53</f>
        <v>2405834.92</v>
      </c>
      <c r="K19" s="330">
        <f>'3382'!I$135</f>
        <v>-110970.25</v>
      </c>
      <c r="L19" s="330">
        <f t="shared" si="8"/>
        <v>2393764.38</v>
      </c>
      <c r="M19" s="331">
        <f>'3382'!I$145</f>
        <v>199480.37</v>
      </c>
      <c r="N19" s="201"/>
      <c r="O19" s="330">
        <f>'3382'!E$30</f>
        <v>271</v>
      </c>
      <c r="Q19" s="331">
        <f t="shared" si="9"/>
        <v>9242.5632103321022</v>
      </c>
      <c r="R19" s="331">
        <f t="shared" si="3"/>
        <v>-409.48431734317342</v>
      </c>
      <c r="S19" s="331">
        <f t="shared" si="4"/>
        <v>8833.0788929889295</v>
      </c>
      <c r="U19" s="331">
        <f t="shared" si="10"/>
        <v>0</v>
      </c>
      <c r="V19" s="331">
        <f t="shared" si="5"/>
        <v>0</v>
      </c>
      <c r="W19" s="331">
        <f t="shared" si="6"/>
        <v>8833.0788929889295</v>
      </c>
    </row>
    <row r="20" spans="1:26" x14ac:dyDescent="0.2">
      <c r="A20" s="191">
        <v>15</v>
      </c>
      <c r="B20" s="320" t="s">
        <v>170</v>
      </c>
      <c r="C20" s="321" t="s">
        <v>204</v>
      </c>
      <c r="D20" s="377">
        <f>'3391'!G$135</f>
        <v>0</v>
      </c>
      <c r="E20" s="377">
        <f>'3391'!H$133</f>
        <v>1</v>
      </c>
      <c r="F20" s="329" t="e">
        <f t="shared" si="7"/>
        <v>#DIV/0!</v>
      </c>
      <c r="G20" s="432" t="e">
        <f t="shared" si="2"/>
        <v>#DIV/0!</v>
      </c>
      <c r="H20" s="322"/>
      <c r="I20" s="330">
        <v>0</v>
      </c>
      <c r="J20" s="330"/>
      <c r="K20" s="330">
        <f>'3391'!I$135</f>
        <v>0</v>
      </c>
      <c r="L20" s="330">
        <f t="shared" si="8"/>
        <v>0</v>
      </c>
      <c r="M20" s="331">
        <f>'3391'!I$145</f>
        <v>0</v>
      </c>
      <c r="N20" s="201"/>
      <c r="O20" s="330">
        <f>'3391'!E$30</f>
        <v>0</v>
      </c>
      <c r="Q20" s="331">
        <v>0</v>
      </c>
      <c r="R20" s="331">
        <v>0</v>
      </c>
      <c r="S20" s="331">
        <v>0</v>
      </c>
      <c r="U20" s="331">
        <f t="shared" si="10"/>
        <v>0</v>
      </c>
      <c r="V20" s="331">
        <f t="shared" si="5"/>
        <v>0</v>
      </c>
      <c r="W20" s="331">
        <f t="shared" si="6"/>
        <v>0</v>
      </c>
    </row>
    <row r="21" spans="1:26" x14ac:dyDescent="0.2">
      <c r="A21" s="191">
        <v>16</v>
      </c>
      <c r="B21" s="320" t="s">
        <v>171</v>
      </c>
      <c r="C21" s="321" t="s">
        <v>205</v>
      </c>
      <c r="D21" s="377">
        <f>'3394'!G$135</f>
        <v>0</v>
      </c>
      <c r="E21" s="377" t="str">
        <f>'3394'!H$133</f>
        <v/>
      </c>
      <c r="F21" s="329">
        <f t="shared" si="7"/>
        <v>4.7586762376632764E-2</v>
      </c>
      <c r="G21" s="432">
        <f t="shared" si="2"/>
        <v>5.0000001220558046E-2</v>
      </c>
      <c r="H21" s="322"/>
      <c r="I21" s="330">
        <f>'3394'!I$128</f>
        <v>1721691.8299999998</v>
      </c>
      <c r="J21" s="330">
        <f>I21-'3394'!I$53</f>
        <v>1638594.7599999998</v>
      </c>
      <c r="K21" s="330">
        <f>'3394'!I$135</f>
        <v>-81929.740000000005</v>
      </c>
      <c r="L21" s="330">
        <f t="shared" si="8"/>
        <v>1639762.0899999999</v>
      </c>
      <c r="M21" s="331">
        <f>'3394'!I$145</f>
        <v>136646.84</v>
      </c>
      <c r="N21" s="201"/>
      <c r="O21" s="330">
        <f>'3394'!E$30</f>
        <v>192</v>
      </c>
      <c r="Q21" s="331">
        <f t="shared" si="9"/>
        <v>8967.1449479166658</v>
      </c>
      <c r="R21" s="331">
        <f t="shared" si="3"/>
        <v>-426.71739583333334</v>
      </c>
      <c r="S21" s="331">
        <f t="shared" si="4"/>
        <v>8540.4275520833326</v>
      </c>
      <c r="U21" s="331">
        <f t="shared" si="10"/>
        <v>0</v>
      </c>
      <c r="V21" s="331">
        <f t="shared" si="5"/>
        <v>0</v>
      </c>
      <c r="W21" s="331">
        <f t="shared" si="6"/>
        <v>8540.4275520833326</v>
      </c>
    </row>
    <row r="22" spans="1:26" x14ac:dyDescent="0.2">
      <c r="A22" s="191">
        <v>17</v>
      </c>
      <c r="B22" s="320" t="s">
        <v>172</v>
      </c>
      <c r="C22" s="323" t="s">
        <v>296</v>
      </c>
      <c r="D22" s="378">
        <f>'3395'!G$135</f>
        <v>0</v>
      </c>
      <c r="E22" s="378" t="str">
        <f>'3395'!H$133</f>
        <v/>
      </c>
      <c r="F22" s="329">
        <f t="shared" si="7"/>
        <v>2.3138180663826849E-2</v>
      </c>
      <c r="G22" s="432">
        <f t="shared" si="2"/>
        <v>2.4270903054609865E-2</v>
      </c>
      <c r="H22" s="322"/>
      <c r="I22" s="330">
        <f>'3395'!I$128</f>
        <v>4471005.3699999992</v>
      </c>
      <c r="J22" s="330">
        <f>I22-'3395'!I$53</f>
        <v>4262343.669999999</v>
      </c>
      <c r="K22" s="330">
        <f>'3395'!I$135</f>
        <v>-103450.93</v>
      </c>
      <c r="L22" s="330">
        <f t="shared" si="8"/>
        <v>4367554.4399999995</v>
      </c>
      <c r="M22" s="331">
        <f>'3395'!I$145</f>
        <v>363962.87</v>
      </c>
      <c r="N22" s="201"/>
      <c r="O22" s="330">
        <f>'3395'!E$30</f>
        <v>515.02</v>
      </c>
      <c r="Q22" s="331">
        <f t="shared" si="9"/>
        <v>8681.2266902256215</v>
      </c>
      <c r="R22" s="331">
        <f t="shared" si="3"/>
        <v>-200.86779154207602</v>
      </c>
      <c r="S22" s="331">
        <f t="shared" si="4"/>
        <v>8480.3588986835457</v>
      </c>
      <c r="U22" s="331">
        <f t="shared" si="10"/>
        <v>0</v>
      </c>
      <c r="V22" s="331">
        <f t="shared" si="5"/>
        <v>0</v>
      </c>
      <c r="W22" s="331">
        <f t="shared" si="6"/>
        <v>8480.3588986835457</v>
      </c>
    </row>
    <row r="23" spans="1:26" x14ac:dyDescent="0.2">
      <c r="A23" s="191">
        <v>18</v>
      </c>
      <c r="B23" s="320" t="s">
        <v>173</v>
      </c>
      <c r="C23" s="323" t="s">
        <v>227</v>
      </c>
      <c r="D23" s="378" t="str">
        <f>'3396'!G$135</f>
        <v>H</v>
      </c>
      <c r="E23" s="378" t="str">
        <f>'3396'!H$133</f>
        <v/>
      </c>
      <c r="F23" s="329">
        <f t="shared" si="7"/>
        <v>6.772283261104399E-3</v>
      </c>
      <c r="G23" s="432">
        <f t="shared" si="2"/>
        <v>7.073335547933368E-3</v>
      </c>
      <c r="H23" s="322"/>
      <c r="I23" s="330">
        <f>'3396'!I$128</f>
        <v>5815630.9299999988</v>
      </c>
      <c r="J23" s="330">
        <f>I23-'3396'!I$53</f>
        <v>5568108.5299999984</v>
      </c>
      <c r="K23" s="330">
        <f>'3396'!I$135</f>
        <v>-39385.1</v>
      </c>
      <c r="L23" s="330">
        <f t="shared" si="8"/>
        <v>5776245.8299999991</v>
      </c>
      <c r="M23" s="331">
        <f>'3396'!I$145</f>
        <v>481353.82</v>
      </c>
      <c r="N23" s="201"/>
      <c r="O23" s="330">
        <f>'3396'!E$30</f>
        <v>706.88</v>
      </c>
      <c r="Q23" s="331">
        <f t="shared" si="9"/>
        <v>8227.1827325712984</v>
      </c>
      <c r="R23" s="331">
        <f t="shared" si="3"/>
        <v>-55.716811905839748</v>
      </c>
      <c r="S23" s="331">
        <f t="shared" si="4"/>
        <v>8171.4659206654587</v>
      </c>
      <c r="U23" s="331">
        <f t="shared" si="10"/>
        <v>8171.4659206654587</v>
      </c>
      <c r="V23" s="331">
        <f t="shared" si="5"/>
        <v>0</v>
      </c>
      <c r="W23" s="331">
        <f t="shared" si="6"/>
        <v>0</v>
      </c>
    </row>
    <row r="24" spans="1:26" x14ac:dyDescent="0.2">
      <c r="A24" s="191">
        <v>19</v>
      </c>
      <c r="B24" s="320" t="s">
        <v>174</v>
      </c>
      <c r="C24" s="321" t="s">
        <v>195</v>
      </c>
      <c r="D24" s="377">
        <f>'3398'!G$135</f>
        <v>0</v>
      </c>
      <c r="E24" s="377" t="str">
        <f>'3398'!H$133</f>
        <v/>
      </c>
      <c r="F24" s="329">
        <f t="shared" si="7"/>
        <v>4.7651209793012378E-2</v>
      </c>
      <c r="G24" s="432">
        <f t="shared" si="2"/>
        <v>5.0000001657306253E-2</v>
      </c>
      <c r="H24" s="322"/>
      <c r="I24" s="330">
        <f>'3398'!I$128</f>
        <v>949695.93000000017</v>
      </c>
      <c r="J24" s="330">
        <f>I24-'3398'!I$53</f>
        <v>905083.17000000016</v>
      </c>
      <c r="K24" s="330">
        <f>'3398'!I$135</f>
        <v>-45254.16</v>
      </c>
      <c r="L24" s="330">
        <f t="shared" si="8"/>
        <v>904441.77000000014</v>
      </c>
      <c r="M24" s="331">
        <f>'3398'!I$145</f>
        <v>75370.149999999994</v>
      </c>
      <c r="N24" s="201"/>
      <c r="O24" s="330">
        <f>'3398'!E$30</f>
        <v>113.17999999999999</v>
      </c>
      <c r="Q24" s="331">
        <f t="shared" si="9"/>
        <v>8391.0225304824198</v>
      </c>
      <c r="R24" s="331">
        <f t="shared" si="3"/>
        <v>-399.84237497791133</v>
      </c>
      <c r="S24" s="331">
        <f t="shared" si="4"/>
        <v>7991.1801555045076</v>
      </c>
      <c r="U24" s="331">
        <f t="shared" si="10"/>
        <v>0</v>
      </c>
      <c r="V24" s="331">
        <f t="shared" si="5"/>
        <v>0</v>
      </c>
      <c r="W24" s="331">
        <f t="shared" si="6"/>
        <v>7991.1801555045076</v>
      </c>
    </row>
    <row r="25" spans="1:26" x14ac:dyDescent="0.2">
      <c r="A25" s="191">
        <v>20</v>
      </c>
      <c r="B25" s="320" t="s">
        <v>175</v>
      </c>
      <c r="C25" s="321" t="s">
        <v>189</v>
      </c>
      <c r="D25" s="377">
        <f>'3400'!G$135</f>
        <v>0</v>
      </c>
      <c r="E25" s="377">
        <f>'3400'!H$133</f>
        <v>1</v>
      </c>
      <c r="F25" s="329">
        <f t="shared" si="7"/>
        <v>3.212664386038977E-2</v>
      </c>
      <c r="G25" s="432">
        <f t="shared" si="2"/>
        <v>3.3093444679129794E-2</v>
      </c>
      <c r="H25" s="322"/>
      <c r="I25" s="330">
        <f>'3400'!I$128</f>
        <v>1159747.97</v>
      </c>
      <c r="J25" s="330">
        <f>I25-'3400'!I$53</f>
        <v>1125866.78</v>
      </c>
      <c r="K25" s="330">
        <f>'3400'!I$135</f>
        <v>-37258.81</v>
      </c>
      <c r="L25" s="330">
        <f t="shared" si="8"/>
        <v>1122489.1599999999</v>
      </c>
      <c r="M25" s="331">
        <f>'3400'!I$145</f>
        <v>93540.76</v>
      </c>
      <c r="N25" s="201"/>
      <c r="O25" s="330">
        <f>'3400'!E$30</f>
        <v>95.86</v>
      </c>
      <c r="Q25" s="331">
        <f t="shared" si="9"/>
        <v>12098.351450031296</v>
      </c>
      <c r="R25" s="331">
        <f t="shared" si="3"/>
        <v>-388.67942833298559</v>
      </c>
      <c r="S25" s="331">
        <f t="shared" si="4"/>
        <v>11709.672021698309</v>
      </c>
      <c r="U25" s="331">
        <f t="shared" si="10"/>
        <v>0</v>
      </c>
      <c r="V25" s="331">
        <f t="shared" si="5"/>
        <v>11709.67</v>
      </c>
      <c r="W25" s="331">
        <f t="shared" si="6"/>
        <v>0</v>
      </c>
    </row>
    <row r="26" spans="1:26" x14ac:dyDescent="0.2">
      <c r="A26" s="191">
        <v>21</v>
      </c>
      <c r="B26" s="320" t="s">
        <v>176</v>
      </c>
      <c r="C26" s="321" t="s">
        <v>206</v>
      </c>
      <c r="D26" s="377">
        <f>'3401'!G$135</f>
        <v>0</v>
      </c>
      <c r="E26" s="377">
        <f>'3401'!H$133</f>
        <v>0</v>
      </c>
      <c r="F26" s="329">
        <f t="shared" si="7"/>
        <v>2.8223182452234218E-2</v>
      </c>
      <c r="G26" s="432">
        <f t="shared" si="2"/>
        <v>2.9364781778509111E-2</v>
      </c>
      <c r="H26" s="322"/>
      <c r="I26" s="330">
        <f>'3401'!I$128</f>
        <v>3598376.2699999996</v>
      </c>
      <c r="J26" s="330">
        <f>I26-'3401'!I$53</f>
        <v>3458484.0699999994</v>
      </c>
      <c r="K26" s="330">
        <f>'3401'!I$135</f>
        <v>-101557.63</v>
      </c>
      <c r="L26" s="330">
        <f t="shared" si="8"/>
        <v>3496818.6399999997</v>
      </c>
      <c r="M26" s="331">
        <f>'3401'!I$145</f>
        <v>291401.55</v>
      </c>
      <c r="N26" s="201"/>
      <c r="O26" s="330">
        <f>'3401'!E$30</f>
        <v>425.67999999999995</v>
      </c>
      <c r="Q26" s="331">
        <f t="shared" si="9"/>
        <v>8453.2425061078739</v>
      </c>
      <c r="R26" s="331">
        <f t="shared" si="3"/>
        <v>-238.57740556286416</v>
      </c>
      <c r="S26" s="331">
        <f t="shared" si="4"/>
        <v>8214.6651005450112</v>
      </c>
      <c r="U26" s="331">
        <f t="shared" si="10"/>
        <v>0</v>
      </c>
      <c r="V26" s="331">
        <f t="shared" si="5"/>
        <v>0</v>
      </c>
      <c r="W26" s="331">
        <f t="shared" si="6"/>
        <v>8214.6651005450112</v>
      </c>
    </row>
    <row r="27" spans="1:26" x14ac:dyDescent="0.2">
      <c r="A27" s="191">
        <v>22</v>
      </c>
      <c r="B27" s="320" t="s">
        <v>177</v>
      </c>
      <c r="C27" s="321" t="s">
        <v>207</v>
      </c>
      <c r="D27" s="377" t="str">
        <f>'3413'!G$135</f>
        <v>H</v>
      </c>
      <c r="E27" s="377" t="str">
        <f>'3413'!H$133</f>
        <v/>
      </c>
      <c r="F27" s="329">
        <f t="shared" si="7"/>
        <v>1.2262172734717519E-2</v>
      </c>
      <c r="G27" s="432">
        <f t="shared" si="2"/>
        <v>1.2819854719254979E-2</v>
      </c>
      <c r="H27" s="322"/>
      <c r="I27" s="330">
        <f>'3413'!I$128</f>
        <v>3435312.07</v>
      </c>
      <c r="J27" s="330">
        <f>I27-'3413'!I$53</f>
        <v>3285871.09</v>
      </c>
      <c r="K27" s="330">
        <f>'3413'!I$135</f>
        <v>-42124.39</v>
      </c>
      <c r="L27" s="330">
        <f t="shared" si="8"/>
        <v>3393187.6799999997</v>
      </c>
      <c r="M27" s="331">
        <f>'3413'!I$145</f>
        <v>282765.64</v>
      </c>
      <c r="N27" s="201"/>
      <c r="O27" s="330">
        <f>'3413'!E$30</f>
        <v>390.02000000000004</v>
      </c>
      <c r="Q27" s="331">
        <f t="shared" si="9"/>
        <v>8808.0407927798569</v>
      </c>
      <c r="R27" s="331">
        <f t="shared" si="3"/>
        <v>-108.00571765550484</v>
      </c>
      <c r="S27" s="331">
        <f t="shared" si="4"/>
        <v>8700.0350751243514</v>
      </c>
      <c r="U27" s="331">
        <f t="shared" si="10"/>
        <v>8700.0350751243514</v>
      </c>
      <c r="V27" s="331">
        <f t="shared" si="5"/>
        <v>0</v>
      </c>
      <c r="W27" s="331">
        <f t="shared" si="6"/>
        <v>0</v>
      </c>
    </row>
    <row r="28" spans="1:26" x14ac:dyDescent="0.2">
      <c r="A28" s="191">
        <v>23</v>
      </c>
      <c r="B28" s="320" t="s">
        <v>178</v>
      </c>
      <c r="C28" s="321" t="s">
        <v>208</v>
      </c>
      <c r="D28" s="377">
        <f>'3421'!G$135</f>
        <v>0</v>
      </c>
      <c r="E28" s="377" t="str">
        <f>'3421'!H$133</f>
        <v/>
      </c>
      <c r="F28" s="329">
        <f t="shared" si="7"/>
        <v>2.5096928772410515E-2</v>
      </c>
      <c r="G28" s="432">
        <f t="shared" si="2"/>
        <v>2.608623016403137E-2</v>
      </c>
      <c r="H28" s="322"/>
      <c r="I28" s="330">
        <f>'3421'!I$128</f>
        <v>3922687.1499999994</v>
      </c>
      <c r="J28" s="330">
        <f>I28-'3421'!I$53</f>
        <v>3773922.0799999996</v>
      </c>
      <c r="K28" s="330">
        <f>'3421'!I$135</f>
        <v>-98447.4</v>
      </c>
      <c r="L28" s="330">
        <f t="shared" si="8"/>
        <v>3824239.7499999995</v>
      </c>
      <c r="M28" s="331">
        <f>'3421'!I$145</f>
        <v>318686.65000000002</v>
      </c>
      <c r="N28" s="201"/>
      <c r="O28" s="330">
        <f>'3421'!E$30</f>
        <v>479.18</v>
      </c>
      <c r="Q28" s="331">
        <f t="shared" si="9"/>
        <v>8186.2497391376919</v>
      </c>
      <c r="R28" s="331">
        <f t="shared" si="3"/>
        <v>-205.44972661630283</v>
      </c>
      <c r="S28" s="331">
        <f t="shared" si="4"/>
        <v>7980.8000125213894</v>
      </c>
      <c r="U28" s="331">
        <f t="shared" si="10"/>
        <v>0</v>
      </c>
      <c r="V28" s="331">
        <f t="shared" si="5"/>
        <v>0</v>
      </c>
      <c r="W28" s="331">
        <f t="shared" si="6"/>
        <v>7980.8000125213894</v>
      </c>
    </row>
    <row r="29" spans="1:26" x14ac:dyDescent="0.2">
      <c r="A29" s="191">
        <v>24</v>
      </c>
      <c r="B29" s="320" t="s">
        <v>179</v>
      </c>
      <c r="C29" s="321" t="s">
        <v>210</v>
      </c>
      <c r="D29" s="377" t="str">
        <f>'3431'!G$135</f>
        <v>H</v>
      </c>
      <c r="E29" s="377" t="str">
        <f>'3431'!H$133</f>
        <v/>
      </c>
      <c r="F29" s="329">
        <f t="shared" si="7"/>
        <v>4.7142390874530026E-3</v>
      </c>
      <c r="G29" s="432">
        <f t="shared" si="2"/>
        <v>4.9315498995724941E-3</v>
      </c>
      <c r="H29" s="322"/>
      <c r="I29" s="330">
        <f>'3431'!I$128</f>
        <v>8768831.8800000008</v>
      </c>
      <c r="J29" s="330">
        <f>I29-'3431'!I$53</f>
        <v>8382429.6300000008</v>
      </c>
      <c r="K29" s="330">
        <f>'3431'!I$135</f>
        <v>-41338.370000000003</v>
      </c>
      <c r="L29" s="330">
        <f t="shared" si="8"/>
        <v>8727493.5100000016</v>
      </c>
      <c r="M29" s="331">
        <f>'3431'!I$145</f>
        <v>727291.13</v>
      </c>
      <c r="N29" s="201"/>
      <c r="O29" s="330">
        <f>'3431'!E$30</f>
        <v>1013.88</v>
      </c>
      <c r="Q29" s="331">
        <f t="shared" si="9"/>
        <v>8648.7867203219321</v>
      </c>
      <c r="R29" s="331">
        <f t="shared" si="3"/>
        <v>-40.772448415986112</v>
      </c>
      <c r="S29" s="331">
        <f t="shared" si="4"/>
        <v>8608.0142719059477</v>
      </c>
      <c r="U29" s="331">
        <f t="shared" si="10"/>
        <v>8608.0142719059477</v>
      </c>
      <c r="V29" s="331">
        <f t="shared" si="5"/>
        <v>0</v>
      </c>
      <c r="W29" s="331">
        <f t="shared" si="6"/>
        <v>0</v>
      </c>
    </row>
    <row r="30" spans="1:26" x14ac:dyDescent="0.2">
      <c r="A30" s="191">
        <v>25</v>
      </c>
      <c r="B30" s="320">
        <v>3441</v>
      </c>
      <c r="C30" s="323" t="s">
        <v>228</v>
      </c>
      <c r="D30" s="378">
        <f>'3441'!G$135</f>
        <v>0</v>
      </c>
      <c r="E30" s="378" t="str">
        <f>'3441'!H$133</f>
        <v/>
      </c>
      <c r="F30" s="329">
        <f t="shared" si="7"/>
        <v>2.266557745475194E-2</v>
      </c>
      <c r="G30" s="432">
        <f t="shared" si="2"/>
        <v>2.3692191526789225E-2</v>
      </c>
      <c r="H30" s="322"/>
      <c r="I30" s="330">
        <f>'3441'!I$128</f>
        <v>4482213.18</v>
      </c>
      <c r="J30" s="330">
        <f>I30-'3441'!I$53</f>
        <v>4287992.9399999995</v>
      </c>
      <c r="K30" s="330">
        <f>'3441'!I$135</f>
        <v>-101591.95</v>
      </c>
      <c r="L30" s="330">
        <f t="shared" si="8"/>
        <v>4380621.2299999995</v>
      </c>
      <c r="M30" s="331">
        <f>'3441'!I$145</f>
        <v>365051.77</v>
      </c>
      <c r="N30" s="201"/>
      <c r="O30" s="330">
        <f>'3441'!E$30</f>
        <v>527.6</v>
      </c>
      <c r="Q30" s="331">
        <f t="shared" si="9"/>
        <v>8495.476080363911</v>
      </c>
      <c r="R30" s="331">
        <f t="shared" si="3"/>
        <v>-192.55487111448065</v>
      </c>
      <c r="S30" s="331">
        <f t="shared" si="4"/>
        <v>8302.9212092494308</v>
      </c>
      <c r="U30" s="331">
        <f t="shared" si="10"/>
        <v>0</v>
      </c>
      <c r="V30" s="331">
        <f t="shared" si="5"/>
        <v>0</v>
      </c>
      <c r="W30" s="331">
        <f t="shared" si="6"/>
        <v>8302.9212092494308</v>
      </c>
    </row>
    <row r="31" spans="1:26" x14ac:dyDescent="0.2">
      <c r="A31" s="191">
        <v>26</v>
      </c>
      <c r="B31" s="320">
        <v>3924</v>
      </c>
      <c r="C31" s="323" t="s">
        <v>414</v>
      </c>
      <c r="D31" s="377">
        <f>'3924'!G$135</f>
        <v>0</v>
      </c>
      <c r="E31" s="377" t="str">
        <f>'3924'!H$133</f>
        <v/>
      </c>
      <c r="F31" s="329">
        <f t="shared" si="7"/>
        <v>2.7261350465106558E-2</v>
      </c>
      <c r="G31" s="432">
        <f t="shared" si="2"/>
        <v>2.8589726505501831E-2</v>
      </c>
      <c r="H31" s="322"/>
      <c r="I31" s="330">
        <f>'3924'!I$128</f>
        <v>3739409.76</v>
      </c>
      <c r="J31" s="330">
        <f>I31-'3924'!I$53</f>
        <v>3565664.05</v>
      </c>
      <c r="K31" s="330">
        <f>'3924'!I$135</f>
        <v>-101941.36</v>
      </c>
      <c r="L31" s="330">
        <f t="shared" si="8"/>
        <v>3637468.4</v>
      </c>
      <c r="M31" s="331">
        <f>'3924'!I$145</f>
        <v>303122.37</v>
      </c>
      <c r="N31" s="201"/>
      <c r="O31" s="330">
        <f>'3924'!E$30</f>
        <v>437.21999999999997</v>
      </c>
      <c r="Q31" s="331">
        <f t="shared" si="9"/>
        <v>8552.6960340332098</v>
      </c>
      <c r="R31" s="331">
        <f t="shared" si="3"/>
        <v>-233.15804400530627</v>
      </c>
      <c r="S31" s="331">
        <f t="shared" si="4"/>
        <v>8319.537990027904</v>
      </c>
      <c r="U31" s="331">
        <f t="shared" si="10"/>
        <v>0</v>
      </c>
      <c r="V31" s="331">
        <f t="shared" si="5"/>
        <v>0</v>
      </c>
      <c r="W31" s="331">
        <f t="shared" si="6"/>
        <v>8319.537990027904</v>
      </c>
    </row>
    <row r="32" spans="1:26" x14ac:dyDescent="0.2">
      <c r="A32" s="191">
        <v>27</v>
      </c>
      <c r="B32" s="320" t="s">
        <v>180</v>
      </c>
      <c r="C32" s="321" t="s">
        <v>191</v>
      </c>
      <c r="D32" s="377" t="str">
        <f>'3941'!G$135</f>
        <v>H</v>
      </c>
      <c r="E32" s="377" t="str">
        <f>'3941'!H$133</f>
        <v/>
      </c>
      <c r="F32" s="329">
        <f t="shared" si="7"/>
        <v>1.9006922790056769E-2</v>
      </c>
      <c r="G32" s="432">
        <f t="shared" si="2"/>
        <v>2.0000001343236175E-2</v>
      </c>
      <c r="H32" s="322"/>
      <c r="I32" s="330">
        <f>'3941'!I$128</f>
        <v>2036756.8399999999</v>
      </c>
      <c r="J32" s="330">
        <f>I32-'3941'!I$53</f>
        <v>1935623.8699999999</v>
      </c>
      <c r="K32" s="330">
        <f>'3941'!I$135</f>
        <v>-38712.480000000003</v>
      </c>
      <c r="L32" s="330">
        <f>I32+K32</f>
        <v>1998044.3599999999</v>
      </c>
      <c r="M32" s="331">
        <f>'3941'!I$145</f>
        <v>166503.70000000001</v>
      </c>
      <c r="N32" s="201"/>
      <c r="O32" s="330">
        <f>'3941'!E$30</f>
        <v>229</v>
      </c>
      <c r="Q32" s="331">
        <f t="shared" si="9"/>
        <v>8894.1346724890827</v>
      </c>
      <c r="R32" s="331">
        <f t="shared" si="3"/>
        <v>-169.05013100436682</v>
      </c>
      <c r="S32" s="331">
        <f t="shared" si="4"/>
        <v>8725.0845414847154</v>
      </c>
      <c r="U32" s="331">
        <f t="shared" si="10"/>
        <v>8725.0845414847154</v>
      </c>
      <c r="V32" s="331">
        <f t="shared" si="5"/>
        <v>0</v>
      </c>
      <c r="W32" s="331">
        <f t="shared" si="6"/>
        <v>0</v>
      </c>
    </row>
    <row r="33" spans="1:23" x14ac:dyDescent="0.2">
      <c r="A33" s="191">
        <v>28</v>
      </c>
      <c r="B33" s="320" t="s">
        <v>181</v>
      </c>
      <c r="C33" s="321" t="s">
        <v>201</v>
      </c>
      <c r="D33" s="377">
        <f>'3961'!G$135</f>
        <v>0</v>
      </c>
      <c r="E33" s="377" t="str">
        <f>'3961'!H$133</f>
        <v/>
      </c>
      <c r="F33" s="329" t="e">
        <f t="shared" si="7"/>
        <v>#DIV/0!</v>
      </c>
      <c r="G33" s="432" t="e">
        <f t="shared" si="2"/>
        <v>#DIV/0!</v>
      </c>
      <c r="H33" s="322"/>
      <c r="I33" s="330"/>
      <c r="J33" s="330"/>
      <c r="K33" s="330"/>
      <c r="L33" s="330">
        <v>0</v>
      </c>
      <c r="M33" s="331">
        <f>'3961'!I$145</f>
        <v>0</v>
      </c>
      <c r="N33" s="201"/>
      <c r="O33" s="330">
        <f>'3961'!E$30</f>
        <v>301.65999999999997</v>
      </c>
      <c r="Q33" s="331">
        <f t="shared" si="9"/>
        <v>0</v>
      </c>
      <c r="R33" s="331">
        <f t="shared" si="3"/>
        <v>0</v>
      </c>
      <c r="S33" s="331">
        <f t="shared" si="4"/>
        <v>0</v>
      </c>
      <c r="U33" s="331">
        <f t="shared" si="10"/>
        <v>0</v>
      </c>
      <c r="V33" s="331">
        <f t="shared" si="5"/>
        <v>0</v>
      </c>
      <c r="W33" s="331">
        <f t="shared" si="6"/>
        <v>0</v>
      </c>
    </row>
    <row r="34" spans="1:23" x14ac:dyDescent="0.2">
      <c r="A34" s="191">
        <v>29</v>
      </c>
      <c r="B34" s="320" t="s">
        <v>182</v>
      </c>
      <c r="C34" s="321" t="s">
        <v>354</v>
      </c>
      <c r="D34" s="377">
        <f>'3971'!G$135</f>
        <v>0</v>
      </c>
      <c r="E34" s="377" t="str">
        <f>'3971'!H$133</f>
        <v/>
      </c>
      <c r="F34" s="329">
        <f t="shared" si="7"/>
        <v>1.8857898741093119E-2</v>
      </c>
      <c r="G34" s="432">
        <f t="shared" si="2"/>
        <v>1.98073148652309E-2</v>
      </c>
      <c r="H34" s="322"/>
      <c r="I34" s="330">
        <f>'3971'!I$128</f>
        <v>5114866.79</v>
      </c>
      <c r="J34" s="330">
        <f>I34-'3971'!I$53</f>
        <v>4869697.92</v>
      </c>
      <c r="K34" s="330">
        <f>'3971'!I$135</f>
        <v>-96455.64</v>
      </c>
      <c r="L34" s="330">
        <f t="shared" si="8"/>
        <v>5018411.1500000004</v>
      </c>
      <c r="M34" s="331">
        <f>'3971'!I$145</f>
        <v>418200.93</v>
      </c>
      <c r="N34" s="201"/>
      <c r="O34" s="330">
        <f>'3971'!E$30</f>
        <v>631.07999999999993</v>
      </c>
      <c r="Q34" s="331">
        <f t="shared" si="9"/>
        <v>8104.9419883374539</v>
      </c>
      <c r="R34" s="331">
        <f t="shared" si="3"/>
        <v>-152.84217531850163</v>
      </c>
      <c r="S34" s="331">
        <f t="shared" si="4"/>
        <v>7952.0998130189528</v>
      </c>
      <c r="U34" s="331">
        <f t="shared" si="10"/>
        <v>0</v>
      </c>
      <c r="V34" s="331">
        <f t="shared" si="5"/>
        <v>0</v>
      </c>
      <c r="W34" s="331">
        <f t="shared" si="6"/>
        <v>7952.0998130189528</v>
      </c>
    </row>
    <row r="35" spans="1:23" x14ac:dyDescent="0.2">
      <c r="A35" s="191">
        <v>30</v>
      </c>
      <c r="B35" s="320" t="s">
        <v>183</v>
      </c>
      <c r="C35" s="321" t="s">
        <v>219</v>
      </c>
      <c r="D35" s="377">
        <f>'4001'!G$135</f>
        <v>0</v>
      </c>
      <c r="E35" s="377" t="str">
        <f>'4001'!H$133</f>
        <v/>
      </c>
      <c r="F35" s="329">
        <f t="shared" si="7"/>
        <v>1.7467764508890597E-2</v>
      </c>
      <c r="G35" s="432">
        <f t="shared" si="2"/>
        <v>1.8328445421237342E-2</v>
      </c>
      <c r="H35" s="322"/>
      <c r="I35" s="330">
        <f>'4001'!I$128</f>
        <v>5936181.4699999997</v>
      </c>
      <c r="J35" s="330">
        <f>I35-'4001'!I$53</f>
        <v>5657425.7999999998</v>
      </c>
      <c r="K35" s="330">
        <f>'4001'!I$135</f>
        <v>-103691.82</v>
      </c>
      <c r="L35" s="330">
        <f t="shared" si="8"/>
        <v>5832489.6499999994</v>
      </c>
      <c r="M35" s="331">
        <f>'4001'!I$145</f>
        <v>486040.8</v>
      </c>
      <c r="N35" s="201"/>
      <c r="O35" s="330">
        <f>'4001'!E$30</f>
        <v>682</v>
      </c>
      <c r="Q35" s="331">
        <f t="shared" si="9"/>
        <v>8704.0784017595306</v>
      </c>
      <c r="R35" s="331">
        <f t="shared" si="3"/>
        <v>-152.04079178885632</v>
      </c>
      <c r="S35" s="331">
        <f t="shared" si="4"/>
        <v>8552.0376099706737</v>
      </c>
      <c r="U35" s="331">
        <f t="shared" si="10"/>
        <v>0</v>
      </c>
      <c r="V35" s="331">
        <f t="shared" si="5"/>
        <v>0</v>
      </c>
      <c r="W35" s="331">
        <f t="shared" si="6"/>
        <v>8552.0376099706737</v>
      </c>
    </row>
    <row r="36" spans="1:23" x14ac:dyDescent="0.2">
      <c r="A36" s="191">
        <v>31</v>
      </c>
      <c r="B36" s="320">
        <v>4002</v>
      </c>
      <c r="C36" s="321" t="s">
        <v>218</v>
      </c>
      <c r="D36" s="377">
        <f>'4002'!G$135</f>
        <v>0</v>
      </c>
      <c r="E36" s="377" t="str">
        <f>'4002'!H$133</f>
        <v/>
      </c>
      <c r="F36" s="329">
        <f t="shared" si="7"/>
        <v>1.2061259003475476E-2</v>
      </c>
      <c r="G36" s="432">
        <f t="shared" si="2"/>
        <v>1.2701186988920112E-2</v>
      </c>
      <c r="H36" s="322"/>
      <c r="I36" s="330">
        <f>'4002'!I$128</f>
        <v>8591547.5300000012</v>
      </c>
      <c r="J36" s="330">
        <f>I36-'4002'!I$53</f>
        <v>8158676.830000001</v>
      </c>
      <c r="K36" s="330">
        <f>'4002'!I$135</f>
        <v>-103624.88</v>
      </c>
      <c r="L36" s="330">
        <f t="shared" si="8"/>
        <v>8487922.6500000004</v>
      </c>
      <c r="M36" s="331">
        <f>'4002'!I$145</f>
        <v>707326.89</v>
      </c>
      <c r="N36" s="201"/>
      <c r="O36" s="330">
        <f>'4002'!E$30</f>
        <v>984.16</v>
      </c>
      <c r="Q36" s="331">
        <f t="shared" si="9"/>
        <v>8729.8280056088461</v>
      </c>
      <c r="R36" s="331">
        <f t="shared" si="3"/>
        <v>-105.29271663144205</v>
      </c>
      <c r="S36" s="331">
        <f t="shared" si="4"/>
        <v>8624.5352889774022</v>
      </c>
      <c r="U36" s="331">
        <f t="shared" si="10"/>
        <v>0</v>
      </c>
      <c r="V36" s="331">
        <f t="shared" si="5"/>
        <v>0</v>
      </c>
      <c r="W36" s="331">
        <f t="shared" si="6"/>
        <v>8624.5352889774022</v>
      </c>
    </row>
    <row r="37" spans="1:23" x14ac:dyDescent="0.2">
      <c r="A37" s="191">
        <v>32</v>
      </c>
      <c r="B37" s="320">
        <v>4012</v>
      </c>
      <c r="C37" s="321" t="s">
        <v>221</v>
      </c>
      <c r="D37" s="377" t="str">
        <f>'4012'!G$135</f>
        <v>H</v>
      </c>
      <c r="E37" s="377" t="str">
        <f>'4012'!H$133</f>
        <v/>
      </c>
      <c r="F37" s="329">
        <f t="shared" si="7"/>
        <v>7.9682317037216548E-3</v>
      </c>
      <c r="G37" s="432">
        <f t="shared" si="2"/>
        <v>8.3870101535053736E-3</v>
      </c>
      <c r="H37" s="322"/>
      <c r="I37" s="330">
        <f>'4012'!I$128</f>
        <v>4854414.5599999987</v>
      </c>
      <c r="J37" s="330">
        <f>I37-'4012'!I$53</f>
        <v>4612024.9399999985</v>
      </c>
      <c r="K37" s="330">
        <f>'4012'!I$135</f>
        <v>-38681.1</v>
      </c>
      <c r="L37" s="330">
        <f t="shared" si="8"/>
        <v>4815733.459999999</v>
      </c>
      <c r="M37" s="331">
        <f>'4012'!I$145</f>
        <v>401311.12</v>
      </c>
      <c r="N37" s="201"/>
      <c r="O37" s="330">
        <f>'4012'!E$30</f>
        <v>596.16</v>
      </c>
      <c r="Q37" s="331">
        <f t="shared" si="9"/>
        <v>8142.8048845947378</v>
      </c>
      <c r="R37" s="331">
        <f t="shared" si="3"/>
        <v>-64.883756038647348</v>
      </c>
      <c r="S37" s="331">
        <f t="shared" si="4"/>
        <v>8077.9211285560914</v>
      </c>
      <c r="U37" s="331">
        <f t="shared" si="10"/>
        <v>8077.9211285560914</v>
      </c>
      <c r="V37" s="331">
        <f t="shared" si="5"/>
        <v>0</v>
      </c>
      <c r="W37" s="331">
        <f t="shared" si="6"/>
        <v>0</v>
      </c>
    </row>
    <row r="38" spans="1:23" x14ac:dyDescent="0.2">
      <c r="A38" s="191">
        <v>33</v>
      </c>
      <c r="B38" s="320">
        <v>4013</v>
      </c>
      <c r="C38" s="321" t="s">
        <v>223</v>
      </c>
      <c r="D38" s="377" t="str">
        <f>'4013'!G$135</f>
        <v>H</v>
      </c>
      <c r="E38" s="377" t="str">
        <f>'4013'!H$133</f>
        <v/>
      </c>
      <c r="F38" s="329">
        <f t="shared" si="7"/>
        <v>4.6741073388231278E-3</v>
      </c>
      <c r="G38" s="432">
        <f t="shared" si="2"/>
        <v>4.895529632556038E-3</v>
      </c>
      <c r="H38" s="322"/>
      <c r="I38" s="330">
        <f>'4013'!I$128</f>
        <v>8049410.7799999993</v>
      </c>
      <c r="J38" s="330">
        <f>I38-'4013'!I$53</f>
        <v>7685340.0599999996</v>
      </c>
      <c r="K38" s="330">
        <f>'4013'!I$135</f>
        <v>-37623.81</v>
      </c>
      <c r="L38" s="330">
        <f t="shared" si="8"/>
        <v>8011786.9699999997</v>
      </c>
      <c r="M38" s="331">
        <f>'4013'!I$145</f>
        <v>667648.91</v>
      </c>
      <c r="N38" s="201"/>
      <c r="O38" s="330">
        <f>'4013'!E$30</f>
        <v>1021.3399999999999</v>
      </c>
      <c r="Q38" s="331">
        <f t="shared" si="9"/>
        <v>7881.2254293379283</v>
      </c>
      <c r="R38" s="331">
        <f t="shared" si="3"/>
        <v>-36.83769361818787</v>
      </c>
      <c r="S38" s="331">
        <f t="shared" si="4"/>
        <v>7844.3877357197407</v>
      </c>
      <c r="U38" s="331">
        <f t="shared" si="10"/>
        <v>7844.3877357197407</v>
      </c>
      <c r="V38" s="331">
        <f t="shared" si="5"/>
        <v>0</v>
      </c>
      <c r="W38" s="331">
        <f t="shared" si="6"/>
        <v>0</v>
      </c>
    </row>
    <row r="39" spans="1:23" x14ac:dyDescent="0.2">
      <c r="A39" s="191">
        <v>34</v>
      </c>
      <c r="B39" s="320">
        <v>4020</v>
      </c>
      <c r="C39" s="323" t="s">
        <v>364</v>
      </c>
      <c r="D39" s="377">
        <f>'4020'!G$135</f>
        <v>0</v>
      </c>
      <c r="E39" s="377" t="str">
        <f>'4020'!H$133</f>
        <v/>
      </c>
      <c r="F39" s="329">
        <f t="shared" si="7"/>
        <v>9.6044321749764652E-3</v>
      </c>
      <c r="G39" s="432">
        <f t="shared" si="2"/>
        <v>1.0036452787455907E-2</v>
      </c>
      <c r="H39" s="322"/>
      <c r="I39" s="330">
        <f>'4020'!I$128</f>
        <v>10817522.380000001</v>
      </c>
      <c r="J39" s="330">
        <f>I39-'4020'!I$53</f>
        <v>10351880.510000002</v>
      </c>
      <c r="K39" s="330">
        <f>'4020'!I$135</f>
        <v>-103896.16</v>
      </c>
      <c r="L39" s="330">
        <f t="shared" si="8"/>
        <v>10713626.220000001</v>
      </c>
      <c r="M39" s="331">
        <f>'4020'!I$145</f>
        <v>892802.19</v>
      </c>
      <c r="N39" s="201"/>
      <c r="O39" s="330">
        <f>'4020'!E$30</f>
        <v>1245.4599999999998</v>
      </c>
      <c r="Q39" s="331">
        <f t="shared" si="9"/>
        <v>8685.563871983044</v>
      </c>
      <c r="R39" s="331">
        <f t="shared" si="3"/>
        <v>-83.419909109887129</v>
      </c>
      <c r="S39" s="331">
        <f t="shared" si="4"/>
        <v>8602.1439628731569</v>
      </c>
      <c r="U39" s="331">
        <f t="shared" si="10"/>
        <v>0</v>
      </c>
      <c r="V39" s="331">
        <f t="shared" si="5"/>
        <v>0</v>
      </c>
      <c r="W39" s="331">
        <f t="shared" si="6"/>
        <v>8602.1439628731569</v>
      </c>
    </row>
    <row r="40" spans="1:23" x14ac:dyDescent="0.2">
      <c r="A40" s="191">
        <v>35</v>
      </c>
      <c r="B40" s="320">
        <v>4030</v>
      </c>
      <c r="C40" s="323" t="s">
        <v>348</v>
      </c>
      <c r="D40" s="377">
        <f>'4030'!G$135</f>
        <v>0</v>
      </c>
      <c r="E40" s="377" t="str">
        <f>'4030'!H$133</f>
        <v/>
      </c>
      <c r="F40" s="329">
        <f t="shared" si="7"/>
        <v>3.9108774368668588E-2</v>
      </c>
      <c r="G40" s="432">
        <f t="shared" si="2"/>
        <v>4.1115717068966044E-2</v>
      </c>
      <c r="H40" s="322"/>
      <c r="I40" s="330">
        <f>'4030'!I$128</f>
        <v>2708473.2700000005</v>
      </c>
      <c r="J40" s="330">
        <f>I40-'4030'!I$53</f>
        <v>2576267.1200000006</v>
      </c>
      <c r="K40" s="330">
        <f>'4030'!I$135</f>
        <v>-105925.07</v>
      </c>
      <c r="L40" s="330">
        <f t="shared" si="8"/>
        <v>2602548.2000000007</v>
      </c>
      <c r="M40" s="331">
        <f>'4030'!I$145</f>
        <v>216879.02</v>
      </c>
      <c r="N40" s="201"/>
      <c r="O40" s="330">
        <f>'4030'!E$30</f>
        <v>304.02</v>
      </c>
      <c r="Q40" s="331">
        <f t="shared" si="9"/>
        <v>8908.8654364844442</v>
      </c>
      <c r="R40" s="331">
        <f>K40/O40</f>
        <v>-348.4148082363003</v>
      </c>
      <c r="S40" s="331">
        <f>L40/O40</f>
        <v>8560.4506282481434</v>
      </c>
      <c r="U40" s="331">
        <f t="shared" si="10"/>
        <v>0</v>
      </c>
      <c r="V40" s="331">
        <f t="shared" si="5"/>
        <v>0</v>
      </c>
      <c r="W40" s="331">
        <f>IF(AND(U40=0,V40=0),S40,)</f>
        <v>8560.4506282481434</v>
      </c>
    </row>
    <row r="41" spans="1:23" x14ac:dyDescent="0.2">
      <c r="A41" s="191">
        <v>36</v>
      </c>
      <c r="B41" s="320">
        <v>4031</v>
      </c>
      <c r="C41" s="323" t="s">
        <v>376</v>
      </c>
      <c r="D41" s="377">
        <f>'4031'!G$135</f>
        <v>0</v>
      </c>
      <c r="E41" s="377" t="str">
        <f>'4031'!H$133</f>
        <v/>
      </c>
      <c r="F41" s="329">
        <f t="shared" si="7"/>
        <v>2.5834224835467549E-2</v>
      </c>
      <c r="G41" s="432">
        <f t="shared" si="2"/>
        <v>2.7284236338813349E-2</v>
      </c>
      <c r="H41" s="322"/>
      <c r="I41" s="330">
        <f>'4031'!I$128</f>
        <v>3972424.59</v>
      </c>
      <c r="J41" s="330">
        <f>I41-'4031'!I$53</f>
        <v>3761311.4299999997</v>
      </c>
      <c r="K41" s="330">
        <f>'4031'!I$135</f>
        <v>-102624.51</v>
      </c>
      <c r="L41" s="330">
        <f t="shared" si="8"/>
        <v>3869800.08</v>
      </c>
      <c r="M41" s="331">
        <f>'4031'!I$145</f>
        <v>322483.34000000003</v>
      </c>
      <c r="N41" s="201"/>
      <c r="O41" s="330">
        <f>'4031'!E$30</f>
        <v>458.14000000000004</v>
      </c>
      <c r="Q41" s="331">
        <f t="shared" si="9"/>
        <v>8670.7656829790012</v>
      </c>
      <c r="R41" s="331">
        <f>K41/O41</f>
        <v>-224.00251014973585</v>
      </c>
      <c r="S41" s="331">
        <f>L41/O41</f>
        <v>8446.7631728292654</v>
      </c>
      <c r="U41" s="331">
        <f t="shared" si="10"/>
        <v>0</v>
      </c>
      <c r="V41" s="331">
        <f t="shared" si="5"/>
        <v>0</v>
      </c>
      <c r="W41" s="331">
        <f>IF(AND(U41=0,V41=0),S41,)</f>
        <v>8446.7631728292654</v>
      </c>
    </row>
    <row r="42" spans="1:23" x14ac:dyDescent="0.2">
      <c r="A42" s="191">
        <v>37</v>
      </c>
      <c r="B42" s="312">
        <v>4041</v>
      </c>
      <c r="C42" s="313" t="s">
        <v>225</v>
      </c>
      <c r="D42" s="379" t="str">
        <f>'4041'!G$135</f>
        <v>H</v>
      </c>
      <c r="E42" s="379" t="str">
        <f>'4041'!H$133</f>
        <v/>
      </c>
      <c r="F42" s="329">
        <f t="shared" si="7"/>
        <v>1.9135318299853519E-2</v>
      </c>
      <c r="G42" s="432">
        <f t="shared" si="2"/>
        <v>1.9999995963114442E-2</v>
      </c>
      <c r="H42" s="322"/>
      <c r="I42" s="330">
        <f>'4041'!I$128</f>
        <v>776728.12999999989</v>
      </c>
      <c r="J42" s="330">
        <f>I42-'4041'!I$53</f>
        <v>743147.14999999991</v>
      </c>
      <c r="K42" s="330">
        <f>'4041'!I$135</f>
        <v>-14862.94</v>
      </c>
      <c r="L42" s="330">
        <f t="shared" si="8"/>
        <v>761865.19</v>
      </c>
      <c r="M42" s="331">
        <f>'4041'!I$145</f>
        <v>63488.77</v>
      </c>
      <c r="N42" s="201"/>
      <c r="O42" s="330">
        <f>'4041'!E$30</f>
        <v>94.7</v>
      </c>
      <c r="Q42" s="331">
        <f t="shared" si="9"/>
        <v>8201.9865892291436</v>
      </c>
      <c r="R42" s="331">
        <f t="shared" si="3"/>
        <v>-156.94762407602957</v>
      </c>
      <c r="S42" s="331">
        <f t="shared" si="4"/>
        <v>8045.0389651531141</v>
      </c>
      <c r="U42" s="331">
        <f t="shared" si="10"/>
        <v>8045.0389651531141</v>
      </c>
      <c r="V42" s="331">
        <f t="shared" si="5"/>
        <v>0</v>
      </c>
      <c r="W42" s="331">
        <f t="shared" si="6"/>
        <v>0</v>
      </c>
    </row>
    <row r="43" spans="1:23" x14ac:dyDescent="0.2">
      <c r="A43" s="191">
        <v>38</v>
      </c>
      <c r="B43" s="263">
        <v>4050</v>
      </c>
      <c r="C43" s="264" t="s">
        <v>216</v>
      </c>
      <c r="D43" s="380">
        <f>'4050'!G$135</f>
        <v>0</v>
      </c>
      <c r="E43" s="380" t="str">
        <f>'4050'!H$133</f>
        <v/>
      </c>
      <c r="F43" s="329">
        <f t="shared" si="7"/>
        <v>1.634022925398242E-2</v>
      </c>
      <c r="G43" s="432">
        <f t="shared" si="2"/>
        <v>1.7184965485721106E-2</v>
      </c>
      <c r="H43" s="322"/>
      <c r="I43" s="330">
        <f>'4050'!I$128</f>
        <v>6249652.8299999991</v>
      </c>
      <c r="J43" s="330">
        <f>I43-'4050'!I$53</f>
        <v>5942447.7799999993</v>
      </c>
      <c r="K43" s="330">
        <f>'4050'!I$135</f>
        <v>-102120.76</v>
      </c>
      <c r="L43" s="330">
        <f t="shared" si="8"/>
        <v>6147532.0699999994</v>
      </c>
      <c r="M43" s="331">
        <f>'4050'!I$145</f>
        <v>512294.34</v>
      </c>
      <c r="N43" s="201"/>
      <c r="O43" s="330">
        <f>'4050'!E$30</f>
        <v>727.37999999999988</v>
      </c>
      <c r="Q43" s="331">
        <f t="shared" si="9"/>
        <v>8592.0053204652322</v>
      </c>
      <c r="R43" s="331">
        <f t="shared" si="3"/>
        <v>-140.39533668783855</v>
      </c>
      <c r="S43" s="331">
        <f t="shared" si="4"/>
        <v>8451.6099837773927</v>
      </c>
      <c r="U43" s="331">
        <f t="shared" si="10"/>
        <v>0</v>
      </c>
      <c r="V43" s="331">
        <f t="shared" si="5"/>
        <v>0</v>
      </c>
      <c r="W43" s="331">
        <f t="shared" si="6"/>
        <v>8451.6099837773927</v>
      </c>
    </row>
    <row r="44" spans="1:23" x14ac:dyDescent="0.2">
      <c r="A44" s="191">
        <v>39</v>
      </c>
      <c r="B44" s="263">
        <v>4051</v>
      </c>
      <c r="C44" s="264" t="s">
        <v>214</v>
      </c>
      <c r="D44" s="380">
        <f>'4051'!G$135</f>
        <v>0</v>
      </c>
      <c r="E44" s="380" t="str">
        <f>'4051'!H$133</f>
        <v/>
      </c>
      <c r="F44" s="329">
        <f t="shared" si="7"/>
        <v>1.5547983925883264E-2</v>
      </c>
      <c r="G44" s="432">
        <f t="shared" si="2"/>
        <v>1.6382700208078336E-2</v>
      </c>
      <c r="H44" s="322"/>
      <c r="I44" s="330">
        <f>'4051'!I$128</f>
        <v>6596642.4000000004</v>
      </c>
      <c r="J44" s="330">
        <f>I44-'4051'!I$53</f>
        <v>6260536.3400000008</v>
      </c>
      <c r="K44" s="330">
        <f>'4051'!I$135</f>
        <v>-102564.49</v>
      </c>
      <c r="L44" s="330">
        <f t="shared" si="8"/>
        <v>6494077.9100000001</v>
      </c>
      <c r="M44" s="331">
        <f>'4051'!I$145</f>
        <v>541173.16</v>
      </c>
      <c r="N44" s="201"/>
      <c r="O44" s="330">
        <f>'4051'!E$30</f>
        <v>763</v>
      </c>
      <c r="Q44" s="331">
        <f t="shared" si="9"/>
        <v>8645.6650065530812</v>
      </c>
      <c r="R44" s="331">
        <f t="shared" si="3"/>
        <v>-134.42266055045872</v>
      </c>
      <c r="S44" s="331">
        <f t="shared" si="4"/>
        <v>8511.2423460026221</v>
      </c>
      <c r="U44" s="331">
        <f t="shared" si="10"/>
        <v>0</v>
      </c>
      <c r="V44" s="331">
        <f t="shared" si="5"/>
        <v>0</v>
      </c>
      <c r="W44" s="331">
        <f t="shared" si="6"/>
        <v>8511.2423460026221</v>
      </c>
    </row>
    <row r="45" spans="1:23" x14ac:dyDescent="0.2">
      <c r="A45" s="191">
        <v>40</v>
      </c>
      <c r="B45" s="263">
        <v>4061</v>
      </c>
      <c r="C45" s="265" t="s">
        <v>366</v>
      </c>
      <c r="D45" s="380">
        <f>'4061'!G$135</f>
        <v>0</v>
      </c>
      <c r="E45" s="380" t="str">
        <f>'4061'!H$133</f>
        <v/>
      </c>
      <c r="F45" s="329">
        <f t="shared" si="7"/>
        <v>1.2413730659595992E-2</v>
      </c>
      <c r="G45" s="432">
        <f t="shared" si="2"/>
        <v>1.2996194273608199E-2</v>
      </c>
      <c r="H45" s="322"/>
      <c r="I45" s="330">
        <f>'4061'!I$128</f>
        <v>8339629.9500000011</v>
      </c>
      <c r="J45" s="330">
        <f>I45-'4061'!I$53</f>
        <v>7965864.3000000007</v>
      </c>
      <c r="K45" s="330">
        <f>'4061'!I$135</f>
        <v>-103525.92</v>
      </c>
      <c r="L45" s="330">
        <f t="shared" si="8"/>
        <v>8236104.0300000012</v>
      </c>
      <c r="M45" s="331">
        <f>'4061'!I$145</f>
        <v>686342</v>
      </c>
      <c r="N45" s="201"/>
      <c r="O45" s="330">
        <f>'4061'!E$30</f>
        <v>961.82</v>
      </c>
      <c r="Q45" s="331">
        <f t="shared" si="9"/>
        <v>8670.6763739577054</v>
      </c>
      <c r="R45" s="331">
        <f t="shared" si="3"/>
        <v>-107.63544114283337</v>
      </c>
      <c r="S45" s="331">
        <f t="shared" si="4"/>
        <v>8563.0409328148726</v>
      </c>
      <c r="U45" s="331">
        <f t="shared" si="10"/>
        <v>0</v>
      </c>
      <c r="V45" s="331">
        <f t="shared" si="5"/>
        <v>0</v>
      </c>
      <c r="W45" s="331">
        <f t="shared" si="6"/>
        <v>8563.0409328148726</v>
      </c>
    </row>
    <row r="46" spans="1:23" x14ac:dyDescent="0.2">
      <c r="A46" s="191">
        <v>41</v>
      </c>
      <c r="B46" s="263">
        <v>4080</v>
      </c>
      <c r="C46" s="265" t="s">
        <v>237</v>
      </c>
      <c r="D46" s="379">
        <f>'4080'!G$135</f>
        <v>0</v>
      </c>
      <c r="E46" s="379" t="str">
        <f>'4080'!H$133</f>
        <v/>
      </c>
      <c r="F46" s="329">
        <f t="shared" si="7"/>
        <v>4.7415313927577606E-2</v>
      </c>
      <c r="G46" s="432">
        <f t="shared" si="2"/>
        <v>5.000000226841006E-2</v>
      </c>
      <c r="H46" s="322"/>
      <c r="I46" s="330">
        <f>'4080'!I$128</f>
        <v>2091906.85</v>
      </c>
      <c r="J46" s="330">
        <f>I46-'4080'!I$53</f>
        <v>1983768.31</v>
      </c>
      <c r="K46" s="330">
        <f>'4080'!I$135</f>
        <v>-99188.42</v>
      </c>
      <c r="L46" s="330">
        <f t="shared" si="8"/>
        <v>1992718.4300000002</v>
      </c>
      <c r="M46" s="331">
        <f>'4080'!I$145</f>
        <v>166059.87</v>
      </c>
      <c r="N46" s="201"/>
      <c r="O46" s="330">
        <f>'4080'!E$30</f>
        <v>244.76</v>
      </c>
      <c r="Q46" s="331">
        <f t="shared" si="9"/>
        <v>8546.7676499428017</v>
      </c>
      <c r="R46" s="331">
        <f t="shared" si="3"/>
        <v>-405.24767118810263</v>
      </c>
      <c r="S46" s="331">
        <f t="shared" si="4"/>
        <v>8141.5199787546999</v>
      </c>
      <c r="U46" s="331">
        <f t="shared" si="10"/>
        <v>0</v>
      </c>
      <c r="V46" s="331">
        <f t="shared" si="5"/>
        <v>0</v>
      </c>
      <c r="W46" s="331">
        <f t="shared" si="6"/>
        <v>8141.5199787546999</v>
      </c>
    </row>
    <row r="47" spans="1:23" x14ac:dyDescent="0.2">
      <c r="A47" s="191">
        <v>42</v>
      </c>
      <c r="B47" s="263">
        <v>4081</v>
      </c>
      <c r="C47" s="265" t="s">
        <v>234</v>
      </c>
      <c r="D47" s="379">
        <f>'4081'!G$135</f>
        <v>0</v>
      </c>
      <c r="E47" s="379" t="str">
        <f>'4081'!H$133</f>
        <v/>
      </c>
      <c r="F47" s="329">
        <f t="shared" si="7"/>
        <v>4.7833376570022179E-2</v>
      </c>
      <c r="G47" s="432">
        <f t="shared" si="2"/>
        <v>5.0000001488966807E-2</v>
      </c>
      <c r="H47" s="322"/>
      <c r="I47" s="330">
        <f>'4081'!I$128</f>
        <v>1053040.8599999999</v>
      </c>
      <c r="J47" s="330">
        <f>I47-'4081'!I$53</f>
        <v>1007409.9699999999</v>
      </c>
      <c r="K47" s="330">
        <f>'4081'!I$135</f>
        <v>-50370.5</v>
      </c>
      <c r="L47" s="330">
        <f t="shared" si="8"/>
        <v>1002670.3599999999</v>
      </c>
      <c r="M47" s="331">
        <f>'4081'!I$145</f>
        <v>83555.86</v>
      </c>
      <c r="N47" s="201"/>
      <c r="O47" s="330">
        <f>'4081'!E$30</f>
        <v>128.28</v>
      </c>
      <c r="Q47" s="331">
        <f t="shared" si="9"/>
        <v>8208.9246959775483</v>
      </c>
      <c r="R47" s="331">
        <f t="shared" si="3"/>
        <v>-392.66058621764887</v>
      </c>
      <c r="S47" s="331">
        <f t="shared" si="4"/>
        <v>7816.2641097598989</v>
      </c>
      <c r="U47" s="331">
        <f t="shared" si="10"/>
        <v>0</v>
      </c>
      <c r="V47" s="331">
        <f t="shared" si="5"/>
        <v>0</v>
      </c>
      <c r="W47" s="331">
        <f t="shared" si="6"/>
        <v>7816.2641097598989</v>
      </c>
    </row>
    <row r="48" spans="1:23" x14ac:dyDescent="0.2">
      <c r="A48" s="191">
        <v>43</v>
      </c>
      <c r="B48" s="263">
        <v>4090</v>
      </c>
      <c r="C48" s="265" t="s">
        <v>297</v>
      </c>
      <c r="D48" s="379">
        <f>'4090'!G$135</f>
        <v>0</v>
      </c>
      <c r="E48" s="379" t="str">
        <f>'4090'!H$133</f>
        <v/>
      </c>
      <c r="F48" s="329">
        <f t="shared" si="7"/>
        <v>4.2448253722321985E-2</v>
      </c>
      <c r="G48" s="432">
        <f t="shared" si="2"/>
        <v>4.4960793346051568E-2</v>
      </c>
      <c r="H48" s="322"/>
      <c r="I48" s="330">
        <f>'4090'!I$128</f>
        <v>2282009.0699999994</v>
      </c>
      <c r="J48" s="330">
        <f>I48-'4090'!I$53</f>
        <v>2154483.7799999993</v>
      </c>
      <c r="K48" s="330">
        <f>'4090'!I$135</f>
        <v>-96867.3</v>
      </c>
      <c r="L48" s="330">
        <f t="shared" si="8"/>
        <v>2185141.7699999996</v>
      </c>
      <c r="M48" s="331">
        <f>'4090'!I$145</f>
        <v>182095.15</v>
      </c>
      <c r="N48" s="201"/>
      <c r="O48" s="330">
        <f>'4090'!E$30</f>
        <v>278.02000000000004</v>
      </c>
      <c r="Q48" s="331">
        <f t="shared" si="9"/>
        <v>8208.0752104165131</v>
      </c>
      <c r="R48" s="331">
        <f t="shared" si="3"/>
        <v>-348.41845910366158</v>
      </c>
      <c r="S48" s="331">
        <f t="shared" si="4"/>
        <v>7859.6567513128521</v>
      </c>
      <c r="U48" s="331">
        <f t="shared" si="10"/>
        <v>0</v>
      </c>
      <c r="V48" s="331">
        <f t="shared" si="5"/>
        <v>0</v>
      </c>
      <c r="W48" s="331">
        <f t="shared" si="6"/>
        <v>7859.6567513128521</v>
      </c>
    </row>
    <row r="49" spans="1:23" x14ac:dyDescent="0.2">
      <c r="A49" s="191">
        <v>44</v>
      </c>
      <c r="B49" s="263">
        <v>4091</v>
      </c>
      <c r="C49" s="265" t="s">
        <v>275</v>
      </c>
      <c r="D49" s="379">
        <f>'4091'!G$135</f>
        <v>0</v>
      </c>
      <c r="E49" s="379" t="str">
        <f>'4091'!H$133</f>
        <v/>
      </c>
      <c r="F49" s="329">
        <f t="shared" si="7"/>
        <v>2.9822952554841218E-2</v>
      </c>
      <c r="G49" s="432">
        <f t="shared" si="2"/>
        <v>3.1333033305134837E-2</v>
      </c>
      <c r="H49" s="322"/>
      <c r="I49" s="330">
        <f>'4091'!I$128</f>
        <v>3537388.52</v>
      </c>
      <c r="J49" s="330">
        <f>I49-'4091'!I$53</f>
        <v>3366905.75</v>
      </c>
      <c r="K49" s="330">
        <f>'4091'!I$135</f>
        <v>-105495.37</v>
      </c>
      <c r="L49" s="330">
        <f t="shared" si="8"/>
        <v>3431893.15</v>
      </c>
      <c r="M49" s="331">
        <f>'4091'!I$145</f>
        <v>285991.09999999998</v>
      </c>
      <c r="N49" s="201"/>
      <c r="O49" s="330">
        <f>'4091'!E$30</f>
        <v>398.94</v>
      </c>
      <c r="Q49" s="331">
        <f t="shared" si="9"/>
        <v>8866.9687672331675</v>
      </c>
      <c r="R49" s="331">
        <f t="shared" si="3"/>
        <v>-264.43918885045372</v>
      </c>
      <c r="S49" s="331">
        <f t="shared" si="4"/>
        <v>8602.5295783827132</v>
      </c>
      <c r="U49" s="331">
        <f t="shared" si="10"/>
        <v>0</v>
      </c>
      <c r="V49" s="331">
        <f t="shared" si="5"/>
        <v>0</v>
      </c>
      <c r="W49" s="331">
        <f t="shared" si="6"/>
        <v>8602.5295783827132</v>
      </c>
    </row>
    <row r="50" spans="1:23" x14ac:dyDescent="0.2">
      <c r="A50" s="191">
        <v>45</v>
      </c>
      <c r="B50" s="263">
        <v>4100</v>
      </c>
      <c r="C50" s="265" t="s">
        <v>298</v>
      </c>
      <c r="D50" s="379">
        <f>'4100'!G$135</f>
        <v>0</v>
      </c>
      <c r="E50" s="379">
        <f>'4100'!H$133</f>
        <v>1</v>
      </c>
      <c r="F50" s="329">
        <f t="shared" si="7"/>
        <v>1.0049767588568835E-2</v>
      </c>
      <c r="G50" s="432">
        <f t="shared" si="2"/>
        <v>1.0478566102370416E-2</v>
      </c>
      <c r="H50" s="322"/>
      <c r="I50" s="330">
        <f>'4100'!I$128</f>
        <v>3791797.1399999997</v>
      </c>
      <c r="J50" s="330">
        <f>I50-'4100'!I$53</f>
        <v>3636631.1599999997</v>
      </c>
      <c r="K50" s="330">
        <f>'4100'!I$135</f>
        <v>-38106.68</v>
      </c>
      <c r="L50" s="330">
        <f t="shared" si="8"/>
        <v>3753690.4599999995</v>
      </c>
      <c r="M50" s="331">
        <f>'4100'!I$145</f>
        <v>312807.53999999998</v>
      </c>
      <c r="N50" s="201"/>
      <c r="O50" s="330">
        <f>'4100'!E$30</f>
        <v>101</v>
      </c>
      <c r="Q50" s="331">
        <f t="shared" si="9"/>
        <v>37542.545940594056</v>
      </c>
      <c r="R50" s="331">
        <f t="shared" si="3"/>
        <v>-377.29386138613864</v>
      </c>
      <c r="S50" s="331">
        <f t="shared" si="4"/>
        <v>37165.252079207916</v>
      </c>
      <c r="U50" s="331">
        <f t="shared" si="10"/>
        <v>0</v>
      </c>
      <c r="V50" s="331">
        <f t="shared" si="5"/>
        <v>37165.25</v>
      </c>
      <c r="W50" s="331">
        <f t="shared" si="6"/>
        <v>0</v>
      </c>
    </row>
    <row r="51" spans="1:23" x14ac:dyDescent="0.2">
      <c r="A51" s="191">
        <v>46</v>
      </c>
      <c r="B51" s="263">
        <v>4102</v>
      </c>
      <c r="C51" s="265" t="s">
        <v>299</v>
      </c>
      <c r="D51" s="379">
        <f>'4102'!G$135</f>
        <v>0</v>
      </c>
      <c r="E51" s="379" t="str">
        <f>'4102'!H$133</f>
        <v/>
      </c>
      <c r="F51" s="329">
        <f t="shared" si="7"/>
        <v>5.0000002481120451E-2</v>
      </c>
      <c r="G51" s="432" t="e">
        <f t="shared" si="2"/>
        <v>#DIV/0!</v>
      </c>
      <c r="H51" s="322"/>
      <c r="I51" s="330">
        <f>'4102'!I$128</f>
        <v>1209131.1399999999</v>
      </c>
      <c r="J51" s="330"/>
      <c r="K51" s="330">
        <f>'4102'!I$135</f>
        <v>-60456.56</v>
      </c>
      <c r="L51" s="330">
        <v>0</v>
      </c>
      <c r="M51" s="331">
        <f>'4102'!I$145</f>
        <v>95722.880000000005</v>
      </c>
      <c r="N51" s="201"/>
      <c r="O51" s="330">
        <f>'4102'!E$30</f>
        <v>144</v>
      </c>
      <c r="Q51" s="331">
        <v>0</v>
      </c>
      <c r="R51" s="331">
        <v>0</v>
      </c>
      <c r="S51" s="331">
        <v>0</v>
      </c>
      <c r="U51" s="331">
        <f t="shared" si="10"/>
        <v>0</v>
      </c>
      <c r="V51" s="331">
        <f t="shared" si="5"/>
        <v>0</v>
      </c>
      <c r="W51" s="331">
        <f>IF(AND(U51=0,V51=0),S51,)</f>
        <v>0</v>
      </c>
    </row>
    <row r="52" spans="1:23" x14ac:dyDescent="0.2">
      <c r="A52" s="191">
        <v>47</v>
      </c>
      <c r="B52" s="263">
        <v>4103</v>
      </c>
      <c r="C52" s="265" t="s">
        <v>324</v>
      </c>
      <c r="D52" s="379">
        <f>'4103'!G$135</f>
        <v>0</v>
      </c>
      <c r="E52" s="379" t="str">
        <f>'4103'!H$133</f>
        <v/>
      </c>
      <c r="F52" s="329">
        <f>IF(I52=0,0,-K52/I52)</f>
        <v>1.2199643781279881E-2</v>
      </c>
      <c r="G52" s="432">
        <f t="shared" si="2"/>
        <v>1.2826300684556004E-2</v>
      </c>
      <c r="H52" s="322"/>
      <c r="I52" s="330">
        <f>'4103'!I$128</f>
        <v>8025889.2600000016</v>
      </c>
      <c r="J52" s="330">
        <f>I52-'4103'!I$53</f>
        <v>7633766.9300000016</v>
      </c>
      <c r="K52" s="330">
        <f>'4103'!I$135</f>
        <v>-97912.99</v>
      </c>
      <c r="L52" s="330">
        <f t="shared" si="8"/>
        <v>7927976.2700000014</v>
      </c>
      <c r="M52" s="331">
        <f>'4103'!I$145</f>
        <v>660664.68999999994</v>
      </c>
      <c r="N52" s="201"/>
      <c r="O52" s="330">
        <f>'4103'!E$30</f>
        <v>974.56000000000006</v>
      </c>
      <c r="Q52" s="331">
        <f>IF(O52=0,0,I52/O52)</f>
        <v>8235.3977795107548</v>
      </c>
      <c r="R52" s="331">
        <f>IF(O52=0,0,K52/O52)</f>
        <v>-100.46891930717452</v>
      </c>
      <c r="S52" s="331">
        <f>IF(O52=0,0,L52/O52)</f>
        <v>8134.9288602035804</v>
      </c>
      <c r="U52" s="331">
        <f t="shared" si="10"/>
        <v>0</v>
      </c>
      <c r="V52" s="331">
        <f t="shared" si="5"/>
        <v>0</v>
      </c>
      <c r="W52" s="331">
        <f>IF(AND(U52=0,V52=0),S52,)</f>
        <v>8134.9288602035804</v>
      </c>
    </row>
    <row r="53" spans="1:23" x14ac:dyDescent="0.2">
      <c r="A53" s="191">
        <v>48</v>
      </c>
      <c r="B53" s="263">
        <v>4111</v>
      </c>
      <c r="C53" s="265" t="s">
        <v>355</v>
      </c>
      <c r="D53" s="379">
        <f>'4111'!G$135</f>
        <v>0</v>
      </c>
      <c r="E53" s="379" t="str">
        <f>'4111'!H$133</f>
        <v/>
      </c>
      <c r="F53" s="329">
        <f>IF(I53=0,0,-K53/I53)</f>
        <v>3.8826549136942091E-2</v>
      </c>
      <c r="G53" s="432">
        <f t="shared" si="2"/>
        <v>4.0711309092837496E-2</v>
      </c>
      <c r="H53" s="322"/>
      <c r="I53" s="330">
        <f>'4111'!I$128</f>
        <v>2499806.7599999998</v>
      </c>
      <c r="J53" s="330">
        <f>I53-'4111'!I$53</f>
        <v>2384076.3699999996</v>
      </c>
      <c r="K53" s="330">
        <f>'4111'!I$135</f>
        <v>-97058.87</v>
      </c>
      <c r="L53" s="330">
        <f t="shared" si="8"/>
        <v>2402747.8899999997</v>
      </c>
      <c r="M53" s="331">
        <f>'4111'!I$145</f>
        <v>200228.99</v>
      </c>
      <c r="N53" s="201"/>
      <c r="O53" s="330">
        <f>'4111'!E$30</f>
        <v>307.03999999999996</v>
      </c>
      <c r="Q53" s="331">
        <f>IF(O53=0,0,I53/O53)</f>
        <v>8141.6322303282959</v>
      </c>
      <c r="R53" s="331">
        <f>IF(O53=0,0,K53/O53)</f>
        <v>-316.11148384575301</v>
      </c>
      <c r="S53" s="331">
        <f>IF(O53=0,0,L53/O53)</f>
        <v>7825.5207464825426</v>
      </c>
      <c r="U53" s="331">
        <f t="shared" si="10"/>
        <v>0</v>
      </c>
      <c r="V53" s="331">
        <f t="shared" si="5"/>
        <v>0</v>
      </c>
      <c r="W53" s="331">
        <f>IF(AND(U53=0,V53=0),S53,)</f>
        <v>7825.5207464825426</v>
      </c>
    </row>
    <row r="54" spans="1:23" x14ac:dyDescent="0.2">
      <c r="A54" s="191">
        <v>49</v>
      </c>
      <c r="B54" s="263">
        <v>4131</v>
      </c>
      <c r="C54" s="265" t="s">
        <v>412</v>
      </c>
      <c r="D54" s="379">
        <f>'4103'!G$135</f>
        <v>0</v>
      </c>
      <c r="E54" s="379" t="str">
        <f>'4103'!H$133</f>
        <v/>
      </c>
      <c r="F54" s="329">
        <f>IF(I54=0,0,-K54/I54)</f>
        <v>4.8462209015028894E-2</v>
      </c>
      <c r="G54" s="432">
        <f t="shared" si="2"/>
        <v>5.000000000000001E-2</v>
      </c>
      <c r="H54" s="322"/>
      <c r="I54" s="330">
        <f>'4131'!I$128</f>
        <v>833754.39999999991</v>
      </c>
      <c r="J54" s="330">
        <f>I54-'4131'!I$53</f>
        <v>808111.59999999986</v>
      </c>
      <c r="K54" s="330">
        <f>'4131'!I$135</f>
        <v>-40405.58</v>
      </c>
      <c r="L54" s="330">
        <f>I54+K54</f>
        <v>793348.82</v>
      </c>
      <c r="M54" s="331">
        <f>'4131'!I$145</f>
        <v>66112.399999999994</v>
      </c>
      <c r="N54" s="201"/>
      <c r="O54" s="330">
        <f>'4131'!E$30</f>
        <v>103.02</v>
      </c>
      <c r="Q54" s="331">
        <f>IF(O54=0,0,I54/O54)</f>
        <v>8093.1314307901375</v>
      </c>
      <c r="R54" s="331">
        <f>IF(O54=0,0,K54/O54)</f>
        <v>-392.21102698505149</v>
      </c>
      <c r="S54" s="331">
        <f>IF(O54=0,0,L54/O54)</f>
        <v>7700.9204038050866</v>
      </c>
      <c r="U54" s="331">
        <f t="shared" si="10"/>
        <v>0</v>
      </c>
      <c r="V54" s="331">
        <f t="shared" si="5"/>
        <v>0</v>
      </c>
      <c r="W54" s="331">
        <f>IF(AND(U54=0,V54=0),S54,)</f>
        <v>7700.9204038050866</v>
      </c>
    </row>
    <row r="55" spans="1:23" x14ac:dyDescent="0.2">
      <c r="A55" s="215"/>
    </row>
    <row r="56" spans="1:23" x14ac:dyDescent="0.2">
      <c r="D56" s="191">
        <f>COUNTIF(D8:D55,"H")</f>
        <v>11</v>
      </c>
      <c r="E56" s="381">
        <f>SUM(E8:E55)</f>
        <v>9</v>
      </c>
      <c r="F56" s="322">
        <f>-K56/I56</f>
        <v>1.5686982021660866E-2</v>
      </c>
      <c r="G56" s="322">
        <f t="shared" si="2"/>
        <v>1.6524996598017507E-2</v>
      </c>
      <c r="I56" s="201">
        <f>SUM(I6:I55)</f>
        <v>206113860.23999998</v>
      </c>
      <c r="J56" s="201">
        <f>SUM(J6:J55)</f>
        <v>195661427.27000001</v>
      </c>
      <c r="K56" s="201">
        <f>SUM(K6:K55)</f>
        <v>-3233304.4200000004</v>
      </c>
      <c r="L56" s="201">
        <f>SUM(L6:L55)</f>
        <v>201731881.24000004</v>
      </c>
      <c r="M56" s="201">
        <f>SUM(M6:M55)</f>
        <v>16906713.019999992</v>
      </c>
      <c r="O56" s="201">
        <f>SUM(O6:O55)</f>
        <v>21948.98</v>
      </c>
      <c r="Q56" s="201">
        <f>SUM(Q6:Q55)</f>
        <v>551402.74863395712</v>
      </c>
      <c r="R56" s="238">
        <f>K56/O56</f>
        <v>-147.31000802770791</v>
      </c>
      <c r="S56" s="238">
        <f>L56/O56</f>
        <v>9190.9456038503868</v>
      </c>
      <c r="U56" s="201">
        <f>AVERAGEIF(U8:U53,"&lt;&gt;0")</f>
        <v>8383.8321329224109</v>
      </c>
      <c r="V56" s="201">
        <f>AVERAGEIF(V8:V53,"&lt;&gt;0")</f>
        <v>25998.1875</v>
      </c>
      <c r="W56" s="201">
        <f>AVERAGEIF(W8:W53,"&lt;&gt;0")</f>
        <v>8345.7303763624368</v>
      </c>
    </row>
    <row r="57" spans="1:23" x14ac:dyDescent="0.2">
      <c r="O57" s="201">
        <f>O56-Consolidated!E32</f>
        <v>0</v>
      </c>
    </row>
    <row r="58" spans="1:23" x14ac:dyDescent="0.2">
      <c r="C58" s="188" t="s">
        <v>300</v>
      </c>
      <c r="I58" s="326">
        <f>Consolidated!I129</f>
        <v>206113860.23999998</v>
      </c>
      <c r="J58" s="326">
        <f>Consolidated!I131</f>
        <v>196870558.41</v>
      </c>
      <c r="K58" s="326">
        <f>Consolidated!I136</f>
        <v>-3233304.4200000004</v>
      </c>
      <c r="L58" s="326">
        <f>I58+K58</f>
        <v>202880555.81999999</v>
      </c>
      <c r="M58" s="326">
        <f>Consolidated!I146</f>
        <v>16906713.019999992</v>
      </c>
    </row>
    <row r="59" spans="1:23" x14ac:dyDescent="0.2">
      <c r="L59" s="607"/>
    </row>
    <row r="60" spans="1:23" ht="13.5" thickBot="1" x14ac:dyDescent="0.25">
      <c r="C60" s="188" t="s">
        <v>301</v>
      </c>
      <c r="I60" s="327">
        <f>I58-I56</f>
        <v>0</v>
      </c>
      <c r="J60" s="327">
        <f>J58-J56</f>
        <v>1209131.1399999857</v>
      </c>
      <c r="K60" s="327">
        <f>K58-K56</f>
        <v>0</v>
      </c>
      <c r="L60" s="327">
        <f>L58-L56</f>
        <v>1148674.5799999535</v>
      </c>
      <c r="M60" s="327">
        <f>M58-M56</f>
        <v>0</v>
      </c>
    </row>
    <row r="61" spans="1:23" ht="13.5" thickTop="1" x14ac:dyDescent="0.2">
      <c r="L61" s="238"/>
    </row>
    <row r="62" spans="1:23" x14ac:dyDescent="0.2">
      <c r="L62" s="201"/>
    </row>
    <row r="63" spans="1:23" x14ac:dyDescent="0.2">
      <c r="L63" s="722">
        <f>L61+L58</f>
        <v>202880555.81999999</v>
      </c>
      <c r="M63" s="188" t="s">
        <v>596</v>
      </c>
    </row>
  </sheetData>
  <mergeCells count="3">
    <mergeCell ref="I4:L4"/>
    <mergeCell ref="Q4:S4"/>
    <mergeCell ref="U4:W4"/>
  </mergeCells>
  <conditionalFormatting sqref="B7">
    <cfRule type="expression" dxfId="13" priority="25" stopIfTrue="1">
      <formula>MOD(ROW(),2)=0</formula>
    </cfRule>
  </conditionalFormatting>
  <conditionalFormatting sqref="B6:C6 E6 O6">
    <cfRule type="expression" dxfId="12" priority="24" stopIfTrue="1">
      <formula>MOD(ROW(),2)=0</formula>
    </cfRule>
  </conditionalFormatting>
  <conditionalFormatting sqref="B8:G54">
    <cfRule type="expression" dxfId="11" priority="26" stopIfTrue="1">
      <formula>MOD(ROW(),2)=0</formula>
    </cfRule>
  </conditionalFormatting>
  <conditionalFormatting sqref="D6:D7">
    <cfRule type="expression" dxfId="10" priority="23" stopIfTrue="1">
      <formula>MOD(ROW(),2)=0</formula>
    </cfRule>
  </conditionalFormatting>
  <conditionalFormatting sqref="F6:G7">
    <cfRule type="expression" dxfId="9" priority="7" stopIfTrue="1">
      <formula>MOD(ROW(),2)=0</formula>
    </cfRule>
  </conditionalFormatting>
  <conditionalFormatting sqref="I6:M54">
    <cfRule type="expression" dxfId="8" priority="13" stopIfTrue="1">
      <formula>MOD(ROW(),2)=0</formula>
    </cfRule>
  </conditionalFormatting>
  <conditionalFormatting sqref="O8:O54">
    <cfRule type="expression" dxfId="7" priority="27" stopIfTrue="1">
      <formula>MOD(ROW(),2)=0</formula>
    </cfRule>
  </conditionalFormatting>
  <conditionalFormatting sqref="O57">
    <cfRule type="cellIs" dxfId="6" priority="47" stopIfTrue="1" operator="equal">
      <formula>0</formula>
    </cfRule>
  </conditionalFormatting>
  <conditionalFormatting sqref="Q6:S54">
    <cfRule type="expression" dxfId="5" priority="3" stopIfTrue="1">
      <formula>MOD(ROW(),2)=0</formula>
    </cfRule>
  </conditionalFormatting>
  <conditionalFormatting sqref="U6:W54">
    <cfRule type="expression" dxfId="4" priority="1" stopIfTrue="1">
      <formula>MOD(ROW(),2)=0</formula>
    </cfRule>
  </conditionalFormatting>
  <pageMargins left="0.7" right="0.7" top="0.75" bottom="0.75" header="0.3" footer="0.3"/>
  <pageSetup orientation="portrait" r:id="rId1"/>
  <ignoredErrors>
    <ignoredError sqref="D53:E5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3" t="s">
        <v>185</v>
      </c>
      <c r="C1" s="204"/>
      <c r="D1" s="204"/>
      <c r="E1" s="205"/>
      <c r="F1" s="204"/>
    </row>
    <row r="2" spans="1:6" x14ac:dyDescent="0.2">
      <c r="B2" s="206"/>
      <c r="C2" s="204"/>
      <c r="D2" s="204"/>
      <c r="E2" s="205"/>
      <c r="F2" s="204"/>
    </row>
    <row r="3" spans="1:6" x14ac:dyDescent="0.2">
      <c r="B3" s="763" t="s">
        <v>343</v>
      </c>
      <c r="C3" s="764"/>
      <c r="D3" s="204"/>
      <c r="E3" s="763" t="s">
        <v>186</v>
      </c>
      <c r="F3" s="764"/>
    </row>
    <row r="4" spans="1:6" x14ac:dyDescent="0.2">
      <c r="B4" s="207" t="s">
        <v>187</v>
      </c>
      <c r="C4" s="208" t="s">
        <v>188</v>
      </c>
      <c r="D4" s="204"/>
      <c r="E4" s="207" t="s">
        <v>187</v>
      </c>
      <c r="F4" s="208" t="s">
        <v>188</v>
      </c>
    </row>
    <row r="5" spans="1:6" x14ac:dyDescent="0.2">
      <c r="A5" s="215">
        <v>1</v>
      </c>
      <c r="B5" s="209" t="s">
        <v>584</v>
      </c>
      <c r="C5" s="211" t="s">
        <v>589</v>
      </c>
      <c r="D5" s="204"/>
      <c r="E5" s="209" t="s">
        <v>175</v>
      </c>
      <c r="F5" s="210" t="s">
        <v>189</v>
      </c>
    </row>
    <row r="6" spans="1:6" x14ac:dyDescent="0.2">
      <c r="A6" s="215">
        <v>2</v>
      </c>
      <c r="B6" s="209" t="s">
        <v>585</v>
      </c>
      <c r="C6" s="211" t="s">
        <v>590</v>
      </c>
      <c r="D6" s="204"/>
      <c r="E6" s="209" t="s">
        <v>180</v>
      </c>
      <c r="F6" s="210" t="s">
        <v>191</v>
      </c>
    </row>
    <row r="7" spans="1:6" x14ac:dyDescent="0.2">
      <c r="A7" s="215">
        <v>3</v>
      </c>
      <c r="B7" s="209" t="s">
        <v>158</v>
      </c>
      <c r="C7" s="211" t="s">
        <v>190</v>
      </c>
      <c r="D7" s="204"/>
      <c r="E7" s="209" t="s">
        <v>281</v>
      </c>
      <c r="F7" s="210" t="s">
        <v>282</v>
      </c>
    </row>
    <row r="8" spans="1:6" x14ac:dyDescent="0.2">
      <c r="A8" s="215">
        <v>4</v>
      </c>
      <c r="B8" s="209" t="s">
        <v>159</v>
      </c>
      <c r="C8" s="211" t="s">
        <v>192</v>
      </c>
      <c r="D8" s="204"/>
      <c r="E8" s="209" t="s">
        <v>268</v>
      </c>
      <c r="F8" s="210" t="s">
        <v>267</v>
      </c>
    </row>
    <row r="9" spans="1:6" x14ac:dyDescent="0.2">
      <c r="A9" s="215">
        <v>5</v>
      </c>
      <c r="B9" s="209" t="s">
        <v>160</v>
      </c>
      <c r="C9" s="211" t="s">
        <v>193</v>
      </c>
      <c r="D9" s="204"/>
      <c r="E9" s="209" t="s">
        <v>160</v>
      </c>
      <c r="F9" s="211" t="s">
        <v>193</v>
      </c>
    </row>
    <row r="10" spans="1:6" x14ac:dyDescent="0.2">
      <c r="A10" s="215">
        <v>6</v>
      </c>
      <c r="B10" s="209" t="s">
        <v>161</v>
      </c>
      <c r="C10" s="210" t="s">
        <v>194</v>
      </c>
      <c r="D10" s="204"/>
      <c r="E10" s="209" t="s">
        <v>174</v>
      </c>
      <c r="F10" s="210" t="s">
        <v>195</v>
      </c>
    </row>
    <row r="11" spans="1:6" x14ac:dyDescent="0.2">
      <c r="A11" s="215">
        <v>7</v>
      </c>
      <c r="B11" s="209" t="s">
        <v>162</v>
      </c>
      <c r="C11" s="210" t="s">
        <v>255</v>
      </c>
      <c r="D11" s="204"/>
      <c r="E11" s="209" t="s">
        <v>233</v>
      </c>
      <c r="F11" s="210" t="s">
        <v>234</v>
      </c>
    </row>
    <row r="12" spans="1:6" x14ac:dyDescent="0.2">
      <c r="A12" s="215">
        <v>8</v>
      </c>
      <c r="B12" s="209" t="s">
        <v>163</v>
      </c>
      <c r="C12" s="210" t="s">
        <v>415</v>
      </c>
      <c r="D12" s="204"/>
      <c r="E12" s="209" t="s">
        <v>198</v>
      </c>
      <c r="F12" s="210" t="s">
        <v>364</v>
      </c>
    </row>
    <row r="13" spans="1:6" x14ac:dyDescent="0.2">
      <c r="A13" s="215">
        <v>9</v>
      </c>
      <c r="B13" s="209" t="s">
        <v>164</v>
      </c>
      <c r="C13" s="211" t="s">
        <v>196</v>
      </c>
      <c r="D13" s="204"/>
      <c r="E13" s="209" t="s">
        <v>199</v>
      </c>
      <c r="F13" s="210" t="s">
        <v>366</v>
      </c>
    </row>
    <row r="14" spans="1:6" x14ac:dyDescent="0.2">
      <c r="A14" s="215">
        <v>10</v>
      </c>
      <c r="B14" s="209" t="s">
        <v>165</v>
      </c>
      <c r="C14" s="210" t="s">
        <v>197</v>
      </c>
      <c r="D14" s="204"/>
      <c r="E14" s="209" t="s">
        <v>181</v>
      </c>
      <c r="F14" s="211" t="s">
        <v>201</v>
      </c>
    </row>
    <row r="15" spans="1:6" x14ac:dyDescent="0.2">
      <c r="A15" s="215">
        <v>11</v>
      </c>
      <c r="B15" s="209" t="s">
        <v>166</v>
      </c>
      <c r="C15" s="210" t="s">
        <v>349</v>
      </c>
      <c r="D15" s="204"/>
      <c r="E15" s="209" t="s">
        <v>169</v>
      </c>
      <c r="F15" s="211" t="s">
        <v>202</v>
      </c>
    </row>
    <row r="16" spans="1:6" x14ac:dyDescent="0.2">
      <c r="A16" s="215">
        <v>12</v>
      </c>
      <c r="B16" s="209" t="s">
        <v>167</v>
      </c>
      <c r="C16" s="212" t="s">
        <v>426</v>
      </c>
      <c r="D16" s="204"/>
      <c r="E16" s="209" t="s">
        <v>173</v>
      </c>
      <c r="F16" s="211" t="s">
        <v>203</v>
      </c>
    </row>
    <row r="17" spans="1:9" x14ac:dyDescent="0.2">
      <c r="A17" s="215">
        <v>13</v>
      </c>
      <c r="B17" s="209" t="s">
        <v>168</v>
      </c>
      <c r="C17" s="211" t="s">
        <v>200</v>
      </c>
      <c r="D17" s="204"/>
      <c r="E17" s="209" t="s">
        <v>167</v>
      </c>
      <c r="F17" s="212" t="s">
        <v>426</v>
      </c>
    </row>
    <row r="18" spans="1:9" x14ac:dyDescent="0.2">
      <c r="A18" s="215">
        <v>14</v>
      </c>
      <c r="B18" s="209" t="s">
        <v>169</v>
      </c>
      <c r="C18" s="211" t="s">
        <v>202</v>
      </c>
      <c r="D18" s="204"/>
      <c r="E18" s="209" t="s">
        <v>168</v>
      </c>
      <c r="F18" s="211" t="s">
        <v>200</v>
      </c>
    </row>
    <row r="19" spans="1:9" x14ac:dyDescent="0.2">
      <c r="A19" s="215">
        <v>15</v>
      </c>
      <c r="B19" s="209" t="s">
        <v>170</v>
      </c>
      <c r="C19" s="211" t="s">
        <v>204</v>
      </c>
      <c r="D19" s="204"/>
      <c r="E19" s="209" t="s">
        <v>158</v>
      </c>
      <c r="F19" s="211" t="s">
        <v>190</v>
      </c>
    </row>
    <row r="20" spans="1:9" x14ac:dyDescent="0.2">
      <c r="A20" s="215">
        <v>16</v>
      </c>
      <c r="B20" s="209" t="s">
        <v>171</v>
      </c>
      <c r="C20" s="211" t="s">
        <v>205</v>
      </c>
      <c r="D20" s="204"/>
      <c r="E20" s="209" t="s">
        <v>171</v>
      </c>
      <c r="F20" s="211" t="s">
        <v>205</v>
      </c>
    </row>
    <row r="21" spans="1:9" x14ac:dyDescent="0.2">
      <c r="A21" s="215">
        <v>17</v>
      </c>
      <c r="B21" s="209" t="s">
        <v>172</v>
      </c>
      <c r="C21" s="210" t="s">
        <v>286</v>
      </c>
      <c r="D21" s="204"/>
      <c r="E21" s="209" t="s">
        <v>351</v>
      </c>
      <c r="F21" s="214" t="s">
        <v>348</v>
      </c>
    </row>
    <row r="22" spans="1:9" x14ac:dyDescent="0.2">
      <c r="A22" s="215">
        <v>18</v>
      </c>
      <c r="B22" s="209" t="s">
        <v>173</v>
      </c>
      <c r="C22" s="211" t="s">
        <v>203</v>
      </c>
      <c r="D22" s="204"/>
      <c r="E22" s="209" t="s">
        <v>163</v>
      </c>
      <c r="F22" s="210" t="s">
        <v>415</v>
      </c>
    </row>
    <row r="23" spans="1:9" x14ac:dyDescent="0.2">
      <c r="A23" s="215">
        <v>19</v>
      </c>
      <c r="B23" s="209" t="s">
        <v>174</v>
      </c>
      <c r="C23" s="210" t="s">
        <v>195</v>
      </c>
      <c r="D23" s="204"/>
      <c r="E23" s="209" t="s">
        <v>209</v>
      </c>
      <c r="F23" s="214" t="s">
        <v>414</v>
      </c>
    </row>
    <row r="24" spans="1:9" x14ac:dyDescent="0.2">
      <c r="A24" s="215">
        <v>20</v>
      </c>
      <c r="B24" s="209" t="s">
        <v>175</v>
      </c>
      <c r="C24" s="210" t="s">
        <v>189</v>
      </c>
      <c r="D24" s="204"/>
      <c r="E24" s="209" t="s">
        <v>182</v>
      </c>
      <c r="F24" s="211" t="s">
        <v>353</v>
      </c>
    </row>
    <row r="25" spans="1:9" x14ac:dyDescent="0.2">
      <c r="A25" s="215">
        <v>21</v>
      </c>
      <c r="B25" s="209" t="s">
        <v>176</v>
      </c>
      <c r="C25" s="211" t="s">
        <v>206</v>
      </c>
      <c r="D25" s="204"/>
      <c r="E25" s="209" t="s">
        <v>584</v>
      </c>
      <c r="F25" s="211" t="s">
        <v>589</v>
      </c>
    </row>
    <row r="26" spans="1:9" x14ac:dyDescent="0.2">
      <c r="A26" s="215">
        <v>22</v>
      </c>
      <c r="B26" s="209" t="s">
        <v>177</v>
      </c>
      <c r="C26" s="210" t="s">
        <v>207</v>
      </c>
      <c r="D26" s="204"/>
      <c r="E26" s="209" t="s">
        <v>165</v>
      </c>
      <c r="F26" s="210" t="s">
        <v>197</v>
      </c>
    </row>
    <row r="27" spans="1:9" x14ac:dyDescent="0.2">
      <c r="A27" s="215">
        <v>23</v>
      </c>
      <c r="B27" s="213" t="s">
        <v>178</v>
      </c>
      <c r="C27" s="210" t="s">
        <v>208</v>
      </c>
      <c r="D27" s="204"/>
      <c r="E27" s="209" t="s">
        <v>161</v>
      </c>
      <c r="F27" s="210" t="s">
        <v>194</v>
      </c>
    </row>
    <row r="28" spans="1:9" x14ac:dyDescent="0.2">
      <c r="A28" s="215">
        <v>24</v>
      </c>
      <c r="B28" s="209" t="s">
        <v>179</v>
      </c>
      <c r="C28" s="211" t="s">
        <v>210</v>
      </c>
      <c r="D28" s="204"/>
      <c r="E28" s="209" t="s">
        <v>176</v>
      </c>
      <c r="F28" s="211" t="s">
        <v>206</v>
      </c>
    </row>
    <row r="29" spans="1:9" x14ac:dyDescent="0.2">
      <c r="A29" s="215">
        <v>25</v>
      </c>
      <c r="B29" s="209" t="s">
        <v>211</v>
      </c>
      <c r="C29" s="210" t="s">
        <v>212</v>
      </c>
      <c r="D29" s="204"/>
      <c r="E29" s="209" t="s">
        <v>213</v>
      </c>
      <c r="F29" s="210" t="s">
        <v>214</v>
      </c>
      <c r="I29" s="295"/>
    </row>
    <row r="30" spans="1:9" x14ac:dyDescent="0.2">
      <c r="A30" s="215">
        <v>26</v>
      </c>
      <c r="B30" s="209" t="s">
        <v>209</v>
      </c>
      <c r="C30" s="214" t="s">
        <v>414</v>
      </c>
      <c r="D30" s="204"/>
      <c r="E30" s="209" t="s">
        <v>215</v>
      </c>
      <c r="F30" s="210" t="s">
        <v>216</v>
      </c>
      <c r="I30" s="295"/>
    </row>
    <row r="31" spans="1:9" x14ac:dyDescent="0.2">
      <c r="A31" s="215">
        <v>27</v>
      </c>
      <c r="B31" s="209" t="s">
        <v>180</v>
      </c>
      <c r="C31" s="210" t="s">
        <v>191</v>
      </c>
      <c r="D31" s="204"/>
      <c r="E31" s="209" t="s">
        <v>217</v>
      </c>
      <c r="F31" s="210" t="s">
        <v>218</v>
      </c>
    </row>
    <row r="32" spans="1:9" x14ac:dyDescent="0.2">
      <c r="A32" s="215">
        <v>28</v>
      </c>
      <c r="B32" s="209" t="s">
        <v>181</v>
      </c>
      <c r="C32" s="211" t="s">
        <v>201</v>
      </c>
      <c r="D32" s="204"/>
      <c r="E32" s="209" t="s">
        <v>183</v>
      </c>
      <c r="F32" s="211" t="s">
        <v>219</v>
      </c>
    </row>
    <row r="33" spans="1:6" x14ac:dyDescent="0.2">
      <c r="A33" s="215">
        <v>29</v>
      </c>
      <c r="B33" s="209" t="s">
        <v>182</v>
      </c>
      <c r="C33" s="211" t="s">
        <v>353</v>
      </c>
      <c r="D33" s="204"/>
      <c r="E33" s="209" t="s">
        <v>179</v>
      </c>
      <c r="F33" s="211" t="s">
        <v>210</v>
      </c>
    </row>
    <row r="34" spans="1:6" x14ac:dyDescent="0.2">
      <c r="A34" s="215">
        <v>30</v>
      </c>
      <c r="B34" s="209" t="s">
        <v>183</v>
      </c>
      <c r="C34" s="211" t="s">
        <v>219</v>
      </c>
      <c r="D34" s="204"/>
      <c r="E34" s="209" t="s">
        <v>170</v>
      </c>
      <c r="F34" s="211" t="s">
        <v>204</v>
      </c>
    </row>
    <row r="35" spans="1:6" x14ac:dyDescent="0.2">
      <c r="A35" s="215">
        <v>31</v>
      </c>
      <c r="B35" s="209" t="s">
        <v>217</v>
      </c>
      <c r="C35" s="210" t="s">
        <v>218</v>
      </c>
      <c r="D35" s="204"/>
      <c r="E35" s="209">
        <v>4111</v>
      </c>
      <c r="F35" s="211" t="s">
        <v>355</v>
      </c>
    </row>
    <row r="36" spans="1:6" x14ac:dyDescent="0.2">
      <c r="A36" s="215">
        <v>32</v>
      </c>
      <c r="B36" s="209" t="s">
        <v>220</v>
      </c>
      <c r="C36" s="214" t="s">
        <v>221</v>
      </c>
      <c r="D36" s="204"/>
      <c r="E36" s="209" t="s">
        <v>177</v>
      </c>
      <c r="F36" s="210" t="s">
        <v>207</v>
      </c>
    </row>
    <row r="37" spans="1:6" x14ac:dyDescent="0.2">
      <c r="A37" s="215">
        <v>33</v>
      </c>
      <c r="B37" s="209" t="s">
        <v>222</v>
      </c>
      <c r="C37" s="211" t="s">
        <v>223</v>
      </c>
      <c r="D37" s="204"/>
      <c r="E37" s="209" t="s">
        <v>224</v>
      </c>
      <c r="F37" s="210" t="s">
        <v>225</v>
      </c>
    </row>
    <row r="38" spans="1:6" x14ac:dyDescent="0.2">
      <c r="A38" s="215">
        <v>34</v>
      </c>
      <c r="B38" s="209" t="s">
        <v>198</v>
      </c>
      <c r="C38" s="210" t="s">
        <v>364</v>
      </c>
      <c r="D38" s="204"/>
      <c r="E38" s="209" t="s">
        <v>222</v>
      </c>
      <c r="F38" s="211" t="s">
        <v>223</v>
      </c>
    </row>
    <row r="39" spans="1:6" x14ac:dyDescent="0.2">
      <c r="A39" s="215">
        <v>35</v>
      </c>
      <c r="B39" s="209" t="s">
        <v>351</v>
      </c>
      <c r="C39" s="211" t="s">
        <v>348</v>
      </c>
      <c r="D39" s="204"/>
      <c r="E39" s="209" t="s">
        <v>220</v>
      </c>
      <c r="F39" s="214" t="s">
        <v>221</v>
      </c>
    </row>
    <row r="40" spans="1:6" x14ac:dyDescent="0.2">
      <c r="A40" s="215">
        <v>36</v>
      </c>
      <c r="B40" s="209">
        <v>4031</v>
      </c>
      <c r="C40" s="210" t="s">
        <v>376</v>
      </c>
      <c r="D40" s="204"/>
      <c r="E40" s="209" t="s">
        <v>172</v>
      </c>
      <c r="F40" s="211" t="s">
        <v>286</v>
      </c>
    </row>
    <row r="41" spans="1:6" x14ac:dyDescent="0.2">
      <c r="A41" s="215">
        <v>37</v>
      </c>
      <c r="B41" s="209" t="s">
        <v>224</v>
      </c>
      <c r="C41" s="210" t="s">
        <v>225</v>
      </c>
      <c r="D41" s="204"/>
      <c r="E41" s="209">
        <v>4091</v>
      </c>
      <c r="F41" s="211" t="s">
        <v>275</v>
      </c>
    </row>
    <row r="42" spans="1:6" x14ac:dyDescent="0.2">
      <c r="A42" s="215">
        <v>38</v>
      </c>
      <c r="B42" s="209" t="s">
        <v>215</v>
      </c>
      <c r="C42" s="210" t="s">
        <v>216</v>
      </c>
      <c r="D42" s="204"/>
      <c r="E42" s="209">
        <v>4031</v>
      </c>
      <c r="F42" s="210" t="s">
        <v>376</v>
      </c>
    </row>
    <row r="43" spans="1:6" x14ac:dyDescent="0.2">
      <c r="A43" s="215">
        <v>39</v>
      </c>
      <c r="B43" s="209" t="s">
        <v>213</v>
      </c>
      <c r="C43" s="210" t="s">
        <v>214</v>
      </c>
      <c r="D43" s="204"/>
      <c r="E43" s="213" t="s">
        <v>411</v>
      </c>
      <c r="F43" s="210" t="s">
        <v>412</v>
      </c>
    </row>
    <row r="44" spans="1:6" x14ac:dyDescent="0.2">
      <c r="A44" s="215">
        <v>40</v>
      </c>
      <c r="B44" s="209" t="s">
        <v>199</v>
      </c>
      <c r="C44" s="210" t="s">
        <v>366</v>
      </c>
      <c r="D44" s="204"/>
      <c r="E44" s="209" t="s">
        <v>159</v>
      </c>
      <c r="F44" s="211" t="s">
        <v>192</v>
      </c>
    </row>
    <row r="45" spans="1:6" x14ac:dyDescent="0.2">
      <c r="A45" s="215">
        <v>41</v>
      </c>
      <c r="B45" s="209" t="s">
        <v>238</v>
      </c>
      <c r="C45" s="210" t="s">
        <v>242</v>
      </c>
      <c r="D45" s="204"/>
      <c r="E45" s="209" t="s">
        <v>211</v>
      </c>
      <c r="F45" s="210" t="s">
        <v>212</v>
      </c>
    </row>
    <row r="46" spans="1:6" x14ac:dyDescent="0.2">
      <c r="A46" s="215">
        <v>42</v>
      </c>
      <c r="B46" s="242" t="s">
        <v>233</v>
      </c>
      <c r="C46" s="188" t="s">
        <v>234</v>
      </c>
      <c r="D46" s="204"/>
      <c r="E46" s="209">
        <v>4090</v>
      </c>
      <c r="F46" s="211" t="s">
        <v>276</v>
      </c>
    </row>
    <row r="47" spans="1:6" x14ac:dyDescent="0.2">
      <c r="A47" s="215">
        <v>43</v>
      </c>
      <c r="B47" s="242">
        <v>4090</v>
      </c>
      <c r="C47" s="188" t="s">
        <v>276</v>
      </c>
      <c r="D47" s="204"/>
      <c r="E47" s="209" t="s">
        <v>326</v>
      </c>
      <c r="F47" s="211" t="s">
        <v>327</v>
      </c>
    </row>
    <row r="48" spans="1:6" x14ac:dyDescent="0.2">
      <c r="A48" s="215">
        <v>44</v>
      </c>
      <c r="B48" s="242">
        <v>4091</v>
      </c>
      <c r="C48" s="188" t="s">
        <v>275</v>
      </c>
      <c r="D48" s="204"/>
      <c r="E48" s="209" t="s">
        <v>166</v>
      </c>
      <c r="F48" s="210" t="s">
        <v>349</v>
      </c>
    </row>
    <row r="49" spans="1:6" x14ac:dyDescent="0.2">
      <c r="A49" s="215">
        <v>45</v>
      </c>
      <c r="B49" s="209" t="s">
        <v>268</v>
      </c>
      <c r="C49" s="210" t="s">
        <v>267</v>
      </c>
      <c r="D49" s="204"/>
      <c r="E49" s="209" t="s">
        <v>585</v>
      </c>
      <c r="F49" s="188" t="s">
        <v>591</v>
      </c>
    </row>
    <row r="50" spans="1:6" x14ac:dyDescent="0.2">
      <c r="A50" s="215">
        <v>46</v>
      </c>
      <c r="B50" s="209" t="s">
        <v>281</v>
      </c>
      <c r="C50" s="210" t="s">
        <v>282</v>
      </c>
      <c r="D50" s="204"/>
      <c r="E50" s="209" t="s">
        <v>162</v>
      </c>
      <c r="F50" s="210" t="s">
        <v>255</v>
      </c>
    </row>
    <row r="51" spans="1:6" x14ac:dyDescent="0.2">
      <c r="A51" s="215">
        <v>47</v>
      </c>
      <c r="B51" s="209" t="s">
        <v>326</v>
      </c>
      <c r="C51" s="241" t="s">
        <v>327</v>
      </c>
      <c r="D51" s="204"/>
      <c r="E51" s="209" t="s">
        <v>238</v>
      </c>
      <c r="F51" s="210" t="s">
        <v>242</v>
      </c>
    </row>
    <row r="52" spans="1:6" x14ac:dyDescent="0.2">
      <c r="A52" s="215">
        <v>48</v>
      </c>
      <c r="B52" s="209">
        <v>4111</v>
      </c>
      <c r="C52" s="210" t="s">
        <v>355</v>
      </c>
      <c r="D52" s="204"/>
      <c r="E52" s="209" t="s">
        <v>164</v>
      </c>
      <c r="F52" s="211" t="s">
        <v>196</v>
      </c>
    </row>
    <row r="53" spans="1:6" x14ac:dyDescent="0.2">
      <c r="A53" s="215">
        <v>49</v>
      </c>
      <c r="B53" s="209" t="s">
        <v>411</v>
      </c>
      <c r="C53" s="210" t="s">
        <v>412</v>
      </c>
      <c r="D53" s="204"/>
      <c r="E53" s="213" t="s">
        <v>178</v>
      </c>
      <c r="F53" s="210" t="s">
        <v>208</v>
      </c>
    </row>
    <row r="54" spans="1:6" x14ac:dyDescent="0.2">
      <c r="A54" s="215"/>
      <c r="D54" s="204"/>
    </row>
    <row r="55" spans="1:6" x14ac:dyDescent="0.2">
      <c r="A55" s="215"/>
      <c r="D55" s="204"/>
    </row>
    <row r="56" spans="1:6" x14ac:dyDescent="0.2">
      <c r="D56" s="204"/>
    </row>
  </sheetData>
  <mergeCells count="2">
    <mergeCell ref="B3:C3"/>
    <mergeCell ref="E3:F3"/>
  </mergeCells>
  <conditionalFormatting sqref="B5:C53">
    <cfRule type="expression" dxfId="3" priority="4" stopIfTrue="1">
      <formula>MOD(ROW(),2)=0</formula>
    </cfRule>
  </conditionalFormatting>
  <conditionalFormatting sqref="E49">
    <cfRule type="expression" dxfId="2" priority="1">
      <formula>MOD(ROW(),2)=0</formula>
    </cfRule>
  </conditionalFormatting>
  <conditionalFormatting sqref="E5:F24 E26:F48 E50:F53">
    <cfRule type="expression" dxfId="1" priority="3">
      <formula>MOD(ROW(),2)=0</formula>
    </cfRule>
  </conditionalFormatting>
  <conditionalFormatting sqref="E25:F25">
    <cfRule type="expression" dxfId="0" priority="2" stopIfTrue="1">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7"/>
  <sheetViews>
    <sheetView topLeftCell="A127" workbookViewId="0">
      <selection activeCell="I146" sqref="I146"/>
    </sheetView>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776" t="s">
        <v>15</v>
      </c>
      <c r="C1" s="777"/>
      <c r="D1" s="777"/>
      <c r="E1" s="777"/>
      <c r="F1" s="777"/>
      <c r="G1" s="777"/>
      <c r="H1" s="777"/>
      <c r="I1" s="777"/>
    </row>
    <row r="2" spans="1:9" ht="21" x14ac:dyDescent="0.35">
      <c r="A2" s="1" t="s">
        <v>253</v>
      </c>
      <c r="B2" s="2"/>
      <c r="C2" s="2"/>
      <c r="D2" s="2"/>
      <c r="E2" s="2"/>
      <c r="F2" s="2"/>
      <c r="G2" s="2"/>
      <c r="H2" s="2"/>
      <c r="I2" s="2"/>
    </row>
    <row r="3" spans="1:9" x14ac:dyDescent="0.25">
      <c r="A3" s="81" t="str">
        <f>'1461'!A3</f>
        <v>Based on the FLDOE 2024-25 Third Calculation</v>
      </c>
    </row>
    <row r="4" spans="1:9" x14ac:dyDescent="0.25">
      <c r="A4" s="778" t="s">
        <v>0</v>
      </c>
      <c r="B4" s="778"/>
      <c r="C4" s="779" t="s">
        <v>9</v>
      </c>
      <c r="D4" s="779"/>
      <c r="E4" s="779"/>
      <c r="F4" s="600" t="s">
        <v>616</v>
      </c>
      <c r="G4" s="4"/>
      <c r="H4" s="4"/>
      <c r="I4" s="4"/>
    </row>
    <row r="5" spans="1:9" ht="12" customHeight="1" thickBot="1" x14ac:dyDescent="0.3">
      <c r="A5" s="225"/>
      <c r="B5" s="225"/>
      <c r="C5" s="226"/>
      <c r="D5" s="226"/>
      <c r="E5" s="226"/>
      <c r="F5" s="227"/>
      <c r="G5" s="227"/>
      <c r="H5" s="227"/>
      <c r="I5" s="227"/>
    </row>
    <row r="6" spans="1:9" ht="12" customHeight="1" x14ac:dyDescent="0.25">
      <c r="A6" s="121"/>
      <c r="B6" s="121"/>
      <c r="C6" s="234"/>
      <c r="D6" s="234"/>
      <c r="E6" s="234"/>
      <c r="F6" s="4"/>
      <c r="G6" s="4"/>
      <c r="H6" s="4"/>
      <c r="I6" s="4"/>
    </row>
    <row r="7" spans="1:9" x14ac:dyDescent="0.25">
      <c r="A7" s="780" t="str">
        <f>'1461'!A7:I7</f>
        <v>1A.   2023-24 FEFP State and Local Funding</v>
      </c>
      <c r="B7" s="780"/>
      <c r="C7" s="780"/>
      <c r="D7" s="780"/>
      <c r="E7" s="780"/>
      <c r="F7" s="780"/>
      <c r="G7" s="780"/>
      <c r="H7" s="780"/>
      <c r="I7" s="780"/>
    </row>
    <row r="8" spans="1:9" x14ac:dyDescent="0.25">
      <c r="A8" s="84"/>
      <c r="B8" s="85" t="s">
        <v>92</v>
      </c>
      <c r="C8" s="221">
        <f>'1461'!C8</f>
        <v>5330.98</v>
      </c>
      <c r="D8" s="86"/>
      <c r="E8" s="87"/>
      <c r="F8" s="84"/>
      <c r="G8" s="85" t="s">
        <v>91</v>
      </c>
      <c r="H8" s="222">
        <f>'1461'!H8</f>
        <v>1.0407999999999999</v>
      </c>
      <c r="I8" s="75"/>
    </row>
    <row r="9" spans="1:9" x14ac:dyDescent="0.25">
      <c r="A9" s="84"/>
      <c r="B9" s="85"/>
      <c r="C9" s="221"/>
      <c r="D9" s="86"/>
      <c r="E9" s="87"/>
      <c r="F9" s="84"/>
      <c r="G9" s="85" t="s">
        <v>453</v>
      </c>
      <c r="H9" s="222">
        <f>'1461'!H9</f>
        <v>1</v>
      </c>
      <c r="I9" s="75"/>
    </row>
    <row r="10" spans="1:9" x14ac:dyDescent="0.25">
      <c r="A10" s="7"/>
      <c r="B10" s="7"/>
      <c r="C10" s="8"/>
      <c r="D10" s="8"/>
      <c r="E10" s="8"/>
      <c r="F10" s="9"/>
      <c r="G10" s="9"/>
      <c r="H10" s="10"/>
      <c r="I10" s="411" t="str">
        <f>'1461'!I10</f>
        <v>2024-25</v>
      </c>
    </row>
    <row r="11" spans="1:9" x14ac:dyDescent="0.25">
      <c r="A11" s="7"/>
      <c r="B11" s="7"/>
      <c r="C11" s="88" t="str">
        <f>'1461'!C11</f>
        <v>Oct 2024</v>
      </c>
      <c r="D11" s="88" t="str">
        <f>'1461'!D11</f>
        <v>Feb 2025</v>
      </c>
      <c r="E11" s="89" t="s">
        <v>8</v>
      </c>
      <c r="F11" s="781" t="s">
        <v>1</v>
      </c>
      <c r="G11" s="781"/>
      <c r="H11" s="10" t="s">
        <v>60</v>
      </c>
      <c r="I11" s="11" t="s">
        <v>27</v>
      </c>
    </row>
    <row r="12" spans="1:9" x14ac:dyDescent="0.25">
      <c r="A12" s="782" t="s">
        <v>1</v>
      </c>
      <c r="B12" s="782"/>
      <c r="C12" s="486" t="str">
        <f>'1461'!C12</f>
        <v>FTE</v>
      </c>
      <c r="D12" s="486" t="str">
        <f>'1461'!D12</f>
        <v>FTE</v>
      </c>
      <c r="E12" s="90" t="s">
        <v>2</v>
      </c>
      <c r="F12" s="783" t="s">
        <v>63</v>
      </c>
      <c r="G12" s="783"/>
      <c r="H12" s="17" t="s">
        <v>59</v>
      </c>
      <c r="I12" s="440" t="s">
        <v>457</v>
      </c>
    </row>
    <row r="13" spans="1:9" x14ac:dyDescent="0.25">
      <c r="A13" s="784" t="s">
        <v>36</v>
      </c>
      <c r="B13" s="784"/>
      <c r="C13" s="91"/>
      <c r="D13" s="91"/>
      <c r="E13" s="713" t="s">
        <v>37</v>
      </c>
      <c r="F13" s="785" t="s">
        <v>38</v>
      </c>
      <c r="G13" s="785"/>
      <c r="H13" s="20" t="s">
        <v>39</v>
      </c>
      <c r="I13" s="411" t="s">
        <v>40</v>
      </c>
    </row>
    <row r="14" spans="1:9" x14ac:dyDescent="0.25">
      <c r="A14" s="786" t="s">
        <v>20</v>
      </c>
      <c r="B14" s="786"/>
      <c r="C14" s="141">
        <f>SUM('0040:4131'!C14)</f>
        <v>2121.37</v>
      </c>
      <c r="D14" s="141">
        <f>SUM('0040:4131'!D14)</f>
        <v>0</v>
      </c>
      <c r="E14" s="116">
        <f>SUM('0040:4131'!E14)</f>
        <v>4242.74</v>
      </c>
      <c r="F14" s="787">
        <f>'1461'!F14:G14</f>
        <v>1.1180000000000001</v>
      </c>
      <c r="G14" s="787"/>
      <c r="H14" s="145">
        <f>SUM('1461:4131'!H14)</f>
        <v>4743.3833000000004</v>
      </c>
      <c r="I14" s="101">
        <f>SUM('0040:4131'!I14)</f>
        <v>26318586.289999999</v>
      </c>
    </row>
    <row r="15" spans="1:9" x14ac:dyDescent="0.25">
      <c r="A15" s="788" t="s">
        <v>21</v>
      </c>
      <c r="B15" s="788"/>
      <c r="C15" s="143">
        <f>SUM('0040:4131'!C15)</f>
        <v>295.5</v>
      </c>
      <c r="D15" s="143">
        <f>SUM('0040:4131'!D15)</f>
        <v>0</v>
      </c>
      <c r="E15" s="116">
        <f>SUM('0040:4131'!E15)</f>
        <v>591</v>
      </c>
      <c r="F15" s="789">
        <f>'1461'!F15:G15</f>
        <v>1.1180000000000001</v>
      </c>
      <c r="G15" s="789"/>
      <c r="H15" s="80">
        <f>SUM('1461:4131'!H15)</f>
        <v>660.73800000000006</v>
      </c>
      <c r="I15" s="101">
        <f>SUM('0040:4131'!I15)</f>
        <v>3666094.2300000004</v>
      </c>
    </row>
    <row r="16" spans="1:9" x14ac:dyDescent="0.25">
      <c r="A16" s="788" t="s">
        <v>22</v>
      </c>
      <c r="B16" s="788"/>
      <c r="C16" s="143">
        <f>SUM('0040:4131'!C16)</f>
        <v>3375.2799999999997</v>
      </c>
      <c r="D16" s="143">
        <f>SUM('0040:4131'!D16)</f>
        <v>0</v>
      </c>
      <c r="E16" s="116">
        <f>SUM('0040:4131'!E16)</f>
        <v>6750.5599999999995</v>
      </c>
      <c r="F16" s="789">
        <f>'1461'!F16:G16</f>
        <v>1</v>
      </c>
      <c r="G16" s="789"/>
      <c r="H16" s="80">
        <f>SUM('1461:4131'!H16)</f>
        <v>6729.5599999999995</v>
      </c>
      <c r="I16" s="101">
        <f>SUM('0040:4131'!I16)</f>
        <v>37455374.020000003</v>
      </c>
    </row>
    <row r="17" spans="1:9" x14ac:dyDescent="0.25">
      <c r="A17" s="788" t="s">
        <v>23</v>
      </c>
      <c r="B17" s="788"/>
      <c r="C17" s="143">
        <f>SUM('0040:4131'!C17)</f>
        <v>596.06000000000006</v>
      </c>
      <c r="D17" s="143">
        <f>SUM('0040:4131'!D17)</f>
        <v>0</v>
      </c>
      <c r="E17" s="116">
        <f>SUM('0040:4131'!E17)</f>
        <v>1192.1200000000001</v>
      </c>
      <c r="F17" s="789">
        <f>'1461'!F17:G17</f>
        <v>1</v>
      </c>
      <c r="G17" s="789"/>
      <c r="H17" s="80">
        <f>SUM('1461:4131'!H17)</f>
        <v>1182.1200000000001</v>
      </c>
      <c r="I17" s="101">
        <f>SUM('0040:4131'!I17)</f>
        <v>6614458.7299999995</v>
      </c>
    </row>
    <row r="18" spans="1:9" x14ac:dyDescent="0.25">
      <c r="A18" s="788" t="s">
        <v>24</v>
      </c>
      <c r="B18" s="788"/>
      <c r="C18" s="143">
        <f>SUM('0040:4131'!C18)</f>
        <v>2242.3000000000002</v>
      </c>
      <c r="D18" s="143">
        <f>SUM('0040:4131'!D18)</f>
        <v>0</v>
      </c>
      <c r="E18" s="116">
        <f>SUM('0040:4131'!E18)</f>
        <v>4484.6000000000004</v>
      </c>
      <c r="F18" s="789">
        <f>'1461'!F18:G18</f>
        <v>0.97799999999999998</v>
      </c>
      <c r="G18" s="789"/>
      <c r="H18" s="80">
        <f>SUM('1461:4131'!H18)</f>
        <v>4385.9386999999997</v>
      </c>
      <c r="I18" s="101">
        <f>SUM('0040:4131'!I18)</f>
        <v>24335310.640000001</v>
      </c>
    </row>
    <row r="19" spans="1:9" x14ac:dyDescent="0.25">
      <c r="A19" s="788" t="s">
        <v>25</v>
      </c>
      <c r="B19" s="788"/>
      <c r="C19" s="143">
        <f>SUM('0040:4131'!C19)</f>
        <v>626.9899999999999</v>
      </c>
      <c r="D19" s="143">
        <f>SUM('0040:4131'!D19)</f>
        <v>0</v>
      </c>
      <c r="E19" s="116">
        <f>SUM('0040:4131'!E19)</f>
        <v>1253.9799999999998</v>
      </c>
      <c r="F19" s="789">
        <f>'1461'!F19:G19</f>
        <v>0.97799999999999998</v>
      </c>
      <c r="G19" s="789"/>
      <c r="H19" s="80">
        <f>SUM('1461:4131'!H19)</f>
        <v>1224.4364</v>
      </c>
      <c r="I19" s="101">
        <f>SUM('0040:4131'!I19)</f>
        <v>6804618.5799999982</v>
      </c>
    </row>
    <row r="20" spans="1:9" x14ac:dyDescent="0.25">
      <c r="A20" s="788" t="s">
        <v>79</v>
      </c>
      <c r="B20" s="788"/>
      <c r="C20" s="143">
        <f>SUM('0040:4131'!C20)</f>
        <v>91.5</v>
      </c>
      <c r="D20" s="143">
        <f>SUM('0040:4131'!D20)</f>
        <v>0</v>
      </c>
      <c r="E20" s="116">
        <f>SUM('0040:4131'!E20)</f>
        <v>183</v>
      </c>
      <c r="F20" s="789">
        <f>'1461'!F20:G20</f>
        <v>3.6970000000000001</v>
      </c>
      <c r="G20" s="789"/>
      <c r="H20" s="80">
        <f>SUM('1461:4131'!H20)</f>
        <v>650.67200000000003</v>
      </c>
      <c r="I20" s="101">
        <f>SUM('0040:4131'!I20)</f>
        <v>3753832.4000000004</v>
      </c>
    </row>
    <row r="21" spans="1:9" x14ac:dyDescent="0.25">
      <c r="A21" s="788" t="s">
        <v>80</v>
      </c>
      <c r="B21" s="788"/>
      <c r="C21" s="143">
        <f>SUM('0040:4131'!C21)</f>
        <v>79</v>
      </c>
      <c r="D21" s="143">
        <f>SUM('0040:4131'!D21)</f>
        <v>0</v>
      </c>
      <c r="E21" s="116">
        <f>SUM('0040:4131'!E21)</f>
        <v>158</v>
      </c>
      <c r="F21" s="789">
        <f>'1461'!F21:G21</f>
        <v>3.6970000000000001</v>
      </c>
      <c r="G21" s="789"/>
      <c r="H21" s="80">
        <f>SUM('1461:4131'!H21)</f>
        <v>576.73200000000008</v>
      </c>
      <c r="I21" s="101">
        <f>SUM('0040:4131'!I21)</f>
        <v>3241013.75</v>
      </c>
    </row>
    <row r="22" spans="1:9" x14ac:dyDescent="0.25">
      <c r="A22" s="788" t="s">
        <v>81</v>
      </c>
      <c r="B22" s="788"/>
      <c r="C22" s="143">
        <f>SUM('0040:4131'!C22)</f>
        <v>57.93</v>
      </c>
      <c r="D22" s="143">
        <f>SUM('0040:4131'!D22)</f>
        <v>0</v>
      </c>
      <c r="E22" s="116">
        <f>SUM('0040:4131'!E22)</f>
        <v>115.86</v>
      </c>
      <c r="F22" s="789">
        <f>'1461'!F22:G22</f>
        <v>3.6970000000000001</v>
      </c>
      <c r="G22" s="789"/>
      <c r="H22" s="80">
        <f>SUM('1461:4131'!H22)</f>
        <v>428.33440000000002</v>
      </c>
      <c r="I22" s="101">
        <f>SUM('0040:4131'!I22)</f>
        <v>2376606.5600000005</v>
      </c>
    </row>
    <row r="23" spans="1:9" x14ac:dyDescent="0.25">
      <c r="A23" s="788" t="s">
        <v>82</v>
      </c>
      <c r="B23" s="788"/>
      <c r="C23" s="143">
        <f>SUM('0040:4131'!C23)</f>
        <v>50.5</v>
      </c>
      <c r="D23" s="143">
        <f>SUM('0040:4131'!D23)</f>
        <v>0</v>
      </c>
      <c r="E23" s="116">
        <f>SUM('0040:4131'!E23)</f>
        <v>101</v>
      </c>
      <c r="F23" s="789">
        <f>'1461'!F23:G23</f>
        <v>5.992</v>
      </c>
      <c r="G23" s="789"/>
      <c r="H23" s="80">
        <f>SUM('1461:4131'!H23)</f>
        <v>605.19200000000001</v>
      </c>
      <c r="I23" s="101">
        <f>SUM('0040:4131'!I23)</f>
        <v>3357898.12</v>
      </c>
    </row>
    <row r="24" spans="1:9" x14ac:dyDescent="0.25">
      <c r="A24" s="788" t="s">
        <v>83</v>
      </c>
      <c r="B24" s="788"/>
      <c r="C24" s="143">
        <f>SUM('0040:4131'!C24)</f>
        <v>50.5</v>
      </c>
      <c r="D24" s="143">
        <f>SUM('0040:4131'!D24)</f>
        <v>0</v>
      </c>
      <c r="E24" s="116">
        <f>SUM('0040:4131'!E24)</f>
        <v>101</v>
      </c>
      <c r="F24" s="789">
        <f>'1461'!F24:G24</f>
        <v>5.992</v>
      </c>
      <c r="G24" s="789"/>
      <c r="H24" s="80">
        <f>SUM('1461:4131'!H24)</f>
        <v>605.19200000000001</v>
      </c>
      <c r="I24" s="101">
        <f>SUM('0040:4131'!I24)</f>
        <v>3357898.11</v>
      </c>
    </row>
    <row r="25" spans="1:9" x14ac:dyDescent="0.25">
      <c r="A25" s="788" t="s">
        <v>84</v>
      </c>
      <c r="B25" s="788"/>
      <c r="C25" s="143">
        <f>SUM('0040:4131'!C25)</f>
        <v>40</v>
      </c>
      <c r="D25" s="143">
        <f>SUM('0040:4131'!D25)</f>
        <v>0</v>
      </c>
      <c r="E25" s="116">
        <f>SUM('0040:4131'!E25)</f>
        <v>80</v>
      </c>
      <c r="F25" s="789">
        <f>'1461'!F25:G25</f>
        <v>5.992</v>
      </c>
      <c r="G25" s="789"/>
      <c r="H25" s="80">
        <f>SUM('1461:4131'!H25)</f>
        <v>479.36</v>
      </c>
      <c r="I25" s="101">
        <f>SUM('0040:4131'!I25)</f>
        <v>2659721.2800000003</v>
      </c>
    </row>
    <row r="26" spans="1:9" x14ac:dyDescent="0.25">
      <c r="A26" s="788" t="s">
        <v>85</v>
      </c>
      <c r="B26" s="788"/>
      <c r="C26" s="143">
        <f>SUM('0040:4131'!C26)</f>
        <v>576.17999999999995</v>
      </c>
      <c r="D26" s="143">
        <f>SUM('0040:4131'!D26)</f>
        <v>0</v>
      </c>
      <c r="E26" s="116">
        <f>SUM('0040:4131'!E26)</f>
        <v>1152.3599999999999</v>
      </c>
      <c r="F26" s="789">
        <f>'1461'!F26:G26</f>
        <v>1.1919999999999999</v>
      </c>
      <c r="G26" s="789"/>
      <c r="H26" s="80">
        <f>SUM('1461:4131'!H26)</f>
        <v>1373.6128999999999</v>
      </c>
      <c r="I26" s="101">
        <f>SUM('0040:4131'!I26)</f>
        <v>7621469.1799999997</v>
      </c>
    </row>
    <row r="27" spans="1:9" x14ac:dyDescent="0.25">
      <c r="A27" s="788" t="s">
        <v>86</v>
      </c>
      <c r="B27" s="788"/>
      <c r="C27" s="143">
        <f>SUM('0040:4131'!C27)</f>
        <v>328.55</v>
      </c>
      <c r="D27" s="143">
        <f>SUM('0040:4131'!D27)</f>
        <v>0</v>
      </c>
      <c r="E27" s="116">
        <f>SUM('0040:4131'!E27)</f>
        <v>657.1</v>
      </c>
      <c r="F27" s="789">
        <f>'1461'!F27:G27</f>
        <v>1.1919999999999999</v>
      </c>
      <c r="G27" s="789"/>
      <c r="H27" s="80">
        <f>SUM('1461:4131'!H27)</f>
        <v>777.30310000000009</v>
      </c>
      <c r="I27" s="101">
        <f>SUM('0040:4131'!I27)</f>
        <v>4345922.7899999991</v>
      </c>
    </row>
    <row r="28" spans="1:9" x14ac:dyDescent="0.25">
      <c r="A28" s="788" t="s">
        <v>87</v>
      </c>
      <c r="B28" s="788"/>
      <c r="C28" s="143">
        <f>SUM('0040:4131'!C28)</f>
        <v>155.80000000000001</v>
      </c>
      <c r="D28" s="143">
        <f>SUM('0040:4131'!D28)</f>
        <v>0</v>
      </c>
      <c r="E28" s="116">
        <f>SUM('0040:4131'!E28)</f>
        <v>311.60000000000002</v>
      </c>
      <c r="F28" s="789">
        <f>'1461'!F28:G28</f>
        <v>1.1919999999999999</v>
      </c>
      <c r="G28" s="789"/>
      <c r="H28" s="80">
        <f>SUM('1461:4131'!H28)</f>
        <v>371.42720000000003</v>
      </c>
      <c r="I28" s="101">
        <f>SUM('0040:4131'!I28)</f>
        <v>2060857.88</v>
      </c>
    </row>
    <row r="29" spans="1:9" x14ac:dyDescent="0.25">
      <c r="A29" s="788" t="s">
        <v>88</v>
      </c>
      <c r="B29" s="788"/>
      <c r="C29" s="110">
        <f>SUM('0040:4131'!C29)</f>
        <v>287.02999999999997</v>
      </c>
      <c r="D29" s="110">
        <f>SUM('0040:4131'!D29)</f>
        <v>0</v>
      </c>
      <c r="E29" s="116">
        <f>SUM('0040:4131'!E29)</f>
        <v>574.05999999999995</v>
      </c>
      <c r="F29" s="789">
        <f>'1461'!F29:G29</f>
        <v>1.079</v>
      </c>
      <c r="G29" s="789"/>
      <c r="H29" s="93">
        <f>SUM('1461:4131'!H29)</f>
        <v>619.41089999999997</v>
      </c>
      <c r="I29" s="101">
        <f>SUM('0040:4131'!I29)</f>
        <v>3436791.4600000004</v>
      </c>
    </row>
    <row r="30" spans="1:9" x14ac:dyDescent="0.25">
      <c r="A30" s="790" t="s">
        <v>153</v>
      </c>
      <c r="B30" s="791"/>
      <c r="C30" s="111">
        <f>SUM(C14:C29)</f>
        <v>10974.49</v>
      </c>
      <c r="D30" s="111">
        <f>SUM(D14:D29)</f>
        <v>0</v>
      </c>
      <c r="E30" s="187">
        <f>SUM(E14:E29)</f>
        <v>21948.98</v>
      </c>
      <c r="F30" s="792"/>
      <c r="G30" s="792"/>
      <c r="H30" s="145">
        <f>SUM(H14:H29)</f>
        <v>25413.412899999996</v>
      </c>
      <c r="I30" s="111">
        <f>SUM(I14:I29)</f>
        <v>141406454.02000001</v>
      </c>
    </row>
    <row r="31" spans="1:9" x14ac:dyDescent="0.25">
      <c r="A31" s="81" t="s">
        <v>154</v>
      </c>
      <c r="B31" s="156"/>
      <c r="C31" s="143">
        <f>Virtual!E22</f>
        <v>0</v>
      </c>
      <c r="D31" s="143">
        <f>Virtual!E23</f>
        <v>0</v>
      </c>
      <c r="E31" s="116">
        <f>IF(D$30=0,C31*2,C31+D31)</f>
        <v>0</v>
      </c>
      <c r="F31" s="789">
        <v>0.7</v>
      </c>
      <c r="G31" s="789"/>
      <c r="H31" s="80">
        <f t="shared" ref="H31" si="0">ROUND(E31*F31,4)</f>
        <v>0</v>
      </c>
      <c r="I31" s="101">
        <f>Virtual!E28</f>
        <v>0</v>
      </c>
    </row>
    <row r="32" spans="1:9" x14ac:dyDescent="0.25">
      <c r="A32" s="790" t="s">
        <v>155</v>
      </c>
      <c r="B32" s="791"/>
      <c r="C32" s="97">
        <f>SUM(C30:C31)</f>
        <v>10974.49</v>
      </c>
      <c r="D32" s="97">
        <f>SUM(D30:D31)</f>
        <v>0</v>
      </c>
      <c r="E32" s="97">
        <f>SUM(E30:E31)</f>
        <v>21948.98</v>
      </c>
      <c r="F32" s="27"/>
      <c r="G32" s="27"/>
      <c r="H32" s="80"/>
      <c r="I32" s="97">
        <f>SUM(I30:I31)</f>
        <v>141406454.02000001</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542"/>
      <c r="C35" s="101"/>
      <c r="D35" s="101"/>
      <c r="E35" s="101"/>
      <c r="F35" s="537"/>
      <c r="G35" s="537"/>
      <c r="H35" s="80"/>
      <c r="I35" s="101"/>
    </row>
    <row r="36" spans="1:9" hidden="1" x14ac:dyDescent="0.25">
      <c r="A36" s="3"/>
      <c r="B36" s="69"/>
      <c r="C36" s="69"/>
      <c r="D36" s="69"/>
      <c r="E36" s="69"/>
      <c r="F36" s="69"/>
      <c r="G36" s="69"/>
      <c r="H36" s="69"/>
      <c r="I36" s="337" t="s">
        <v>321</v>
      </c>
    </row>
    <row r="37" spans="1:9" hidden="1" x14ac:dyDescent="0.25">
      <c r="A37" s="26"/>
      <c r="B37" s="26"/>
      <c r="C37" s="88" t="str">
        <f>C11</f>
        <v>Oct 2024</v>
      </c>
      <c r="D37" s="88" t="str">
        <f>D11</f>
        <v>Feb 2025</v>
      </c>
      <c r="E37" s="89" t="s">
        <v>8</v>
      </c>
      <c r="F37" s="27"/>
      <c r="G37" s="27"/>
      <c r="H37" s="104"/>
      <c r="I37" s="24" t="s">
        <v>27</v>
      </c>
    </row>
    <row r="38" spans="1:9" hidden="1" x14ac:dyDescent="0.25">
      <c r="A38" s="782" t="s">
        <v>50</v>
      </c>
      <c r="B38" s="782"/>
      <c r="C38" s="340" t="s">
        <v>2</v>
      </c>
      <c r="D38" s="340" t="s">
        <v>2</v>
      </c>
      <c r="E38" s="90" t="s">
        <v>2</v>
      </c>
      <c r="F38" s="105"/>
      <c r="G38" s="105"/>
      <c r="H38" s="105"/>
      <c r="I38" s="31" t="s">
        <v>62</v>
      </c>
    </row>
    <row r="39" spans="1:9" hidden="1" x14ac:dyDescent="0.25">
      <c r="A39" s="786" t="s">
        <v>45</v>
      </c>
      <c r="B39" s="786"/>
      <c r="C39" s="147">
        <f>SUM('1461:4111'!C38)</f>
        <v>0</v>
      </c>
      <c r="D39" s="147">
        <f>SUM('1461:4111'!D38)</f>
        <v>0</v>
      </c>
      <c r="E39" s="187">
        <f>SUM('1461:4111'!E38)</f>
        <v>0</v>
      </c>
      <c r="F39" s="148"/>
      <c r="G39" s="148"/>
      <c r="H39" s="148"/>
      <c r="I39" s="111">
        <f>SUM('1461:4111'!I38)</f>
        <v>0</v>
      </c>
    </row>
    <row r="40" spans="1:9" hidden="1" x14ac:dyDescent="0.25">
      <c r="A40" s="788" t="s">
        <v>46</v>
      </c>
      <c r="B40" s="788"/>
      <c r="C40" s="150">
        <f>SUM('1461:4111'!C39)</f>
        <v>0</v>
      </c>
      <c r="D40" s="150">
        <f>SUM('1461:4111'!D39)</f>
        <v>0</v>
      </c>
      <c r="E40" s="116">
        <f>SUM('1461:4111'!E39)</f>
        <v>0</v>
      </c>
      <c r="F40" s="151"/>
      <c r="G40" s="151"/>
      <c r="H40" s="151"/>
      <c r="I40" s="101">
        <f>SUM('1461:4111'!I39)</f>
        <v>0</v>
      </c>
    </row>
    <row r="41" spans="1:9" hidden="1" x14ac:dyDescent="0.25">
      <c r="A41" s="793" t="s">
        <v>47</v>
      </c>
      <c r="B41" s="793"/>
      <c r="C41" s="150">
        <f>SUM('1461:4111'!C40)</f>
        <v>0</v>
      </c>
      <c r="D41" s="150">
        <f>SUM('1461:4111'!D40)</f>
        <v>0</v>
      </c>
      <c r="E41" s="116">
        <f>SUM('1461:4111'!E40)</f>
        <v>0</v>
      </c>
      <c r="F41" s="151"/>
      <c r="G41" s="151"/>
      <c r="H41" s="151"/>
      <c r="I41" s="101">
        <f>SUM('1461:4111'!I40)</f>
        <v>0</v>
      </c>
    </row>
    <row r="42" spans="1:9" hidden="1" x14ac:dyDescent="0.25">
      <c r="A42" s="788" t="s">
        <v>48</v>
      </c>
      <c r="B42" s="788"/>
      <c r="C42" s="150">
        <f>SUM('1461:4111'!C41)</f>
        <v>0</v>
      </c>
      <c r="D42" s="150">
        <f>SUM('1461:4111'!D41)</f>
        <v>0</v>
      </c>
      <c r="E42" s="116">
        <f>SUM('1461:4111'!E41)</f>
        <v>0</v>
      </c>
      <c r="F42" s="151"/>
      <c r="G42" s="151"/>
      <c r="H42" s="151"/>
      <c r="I42" s="101">
        <f>SUM('1461:4111'!I41)</f>
        <v>0</v>
      </c>
    </row>
    <row r="43" spans="1:9" hidden="1" x14ac:dyDescent="0.25">
      <c r="A43" s="788" t="s">
        <v>49</v>
      </c>
      <c r="B43" s="788"/>
      <c r="C43" s="150">
        <f>SUM('1461:4111'!C42)</f>
        <v>0</v>
      </c>
      <c r="D43" s="150">
        <f>SUM('1461:4111'!D42)</f>
        <v>0</v>
      </c>
      <c r="E43" s="116">
        <f>SUM('1461:4111'!E42)</f>
        <v>0</v>
      </c>
      <c r="F43" s="151"/>
      <c r="G43" s="151"/>
      <c r="H43" s="151"/>
      <c r="I43" s="101">
        <f>SUM('1461:4111'!I42)</f>
        <v>0</v>
      </c>
    </row>
    <row r="44" spans="1:9" hidden="1" x14ac:dyDescent="0.25">
      <c r="A44" s="788" t="s">
        <v>41</v>
      </c>
      <c r="B44" s="788"/>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25413.412899999996</v>
      </c>
      <c r="F47" s="34"/>
      <c r="G47" s="106"/>
      <c r="H47" s="107" t="s">
        <v>98</v>
      </c>
      <c r="I47" s="94">
        <f>SUM(I45,I32)</f>
        <v>141406454.02000001</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458</v>
      </c>
      <c r="B50" s="26"/>
      <c r="C50" s="26"/>
      <c r="D50" s="26"/>
      <c r="E50" s="26"/>
      <c r="F50" s="34"/>
      <c r="G50" s="27"/>
      <c r="H50" s="27"/>
      <c r="I50" s="101"/>
    </row>
    <row r="51" spans="1:9" s="443" customFormat="1" ht="9" customHeight="1" x14ac:dyDescent="0.2">
      <c r="A51" s="442" t="s">
        <v>459</v>
      </c>
      <c r="F51" s="444"/>
      <c r="G51" s="445"/>
      <c r="H51" s="445"/>
      <c r="I51" s="446"/>
    </row>
    <row r="52" spans="1:9" s="443" customFormat="1" ht="11.25" customHeight="1" x14ac:dyDescent="0.2">
      <c r="A52" s="450" t="s">
        <v>460</v>
      </c>
      <c r="F52" s="444"/>
      <c r="G52" s="445"/>
      <c r="H52" s="445"/>
      <c r="I52" s="446"/>
    </row>
    <row r="53" spans="1:9" x14ac:dyDescent="0.25">
      <c r="A53" s="441"/>
      <c r="B53" s="3" t="s">
        <v>576</v>
      </c>
      <c r="C53" s="26"/>
      <c r="D53" s="26"/>
      <c r="E53" s="43" t="s">
        <v>461</v>
      </c>
      <c r="F53" s="452">
        <f>SUM('1461:4131'!F51)</f>
        <v>141249911.19000006</v>
      </c>
      <c r="G53" s="109" t="s">
        <v>6</v>
      </c>
      <c r="H53" s="453">
        <f>'1461'!H51</f>
        <v>5.5899999999999998E-2</v>
      </c>
      <c r="I53" s="101">
        <f>SUM('0040:4131'!I51)</f>
        <v>7761864.0700000003</v>
      </c>
    </row>
    <row r="54" spans="1:9" x14ac:dyDescent="0.25">
      <c r="A54" s="26"/>
      <c r="B54" s="618" t="s">
        <v>579</v>
      </c>
      <c r="C54" s="26"/>
      <c r="D54" s="26"/>
      <c r="E54" s="43" t="s">
        <v>461</v>
      </c>
      <c r="F54" s="452">
        <f>SUM('1461:4131'!F52)</f>
        <v>141249911.19000006</v>
      </c>
      <c r="G54" s="109" t="s">
        <v>6</v>
      </c>
      <c r="H54" s="453">
        <f>'1461'!H52</f>
        <v>1.0699999999999999E-2</v>
      </c>
      <c r="I54" s="94">
        <f>SUM('0040:4131'!I52)</f>
        <v>1481437.7600000005</v>
      </c>
    </row>
    <row r="55" spans="1:9" x14ac:dyDescent="0.25">
      <c r="A55" s="26"/>
      <c r="B55" s="81" t="s">
        <v>462</v>
      </c>
      <c r="C55" s="26"/>
      <c r="D55" s="26"/>
      <c r="E55" s="43"/>
      <c r="F55" s="452"/>
      <c r="G55" s="109"/>
      <c r="H55" s="453"/>
      <c r="I55" s="97">
        <f>SUM(I53:I54)</f>
        <v>9243301.8300000001</v>
      </c>
    </row>
    <row r="56" spans="1:9" x14ac:dyDescent="0.25">
      <c r="A56" s="26"/>
      <c r="B56" s="26"/>
      <c r="C56" s="26"/>
      <c r="D56" s="26"/>
      <c r="E56" s="26"/>
      <c r="F56" s="34"/>
      <c r="G56" s="27"/>
      <c r="H56" s="27"/>
      <c r="I56" s="101"/>
    </row>
    <row r="57" spans="1:9" x14ac:dyDescent="0.25">
      <c r="A57" s="542"/>
      <c r="B57" s="542"/>
      <c r="C57" s="88" t="str">
        <f>C11</f>
        <v>Oct 2024</v>
      </c>
      <c r="D57" s="349" t="str">
        <f t="shared" ref="D57:D58" si="1">D11</f>
        <v>Feb 2025</v>
      </c>
      <c r="E57" s="89" t="s">
        <v>8</v>
      </c>
      <c r="F57" s="46" t="s">
        <v>499</v>
      </c>
      <c r="G57" s="109" t="s">
        <v>500</v>
      </c>
      <c r="H57" s="505" t="s">
        <v>501</v>
      </c>
      <c r="I57" s="101"/>
    </row>
    <row r="58" spans="1:9" x14ac:dyDescent="0.25">
      <c r="A58" s="36" t="s">
        <v>502</v>
      </c>
      <c r="B58" s="36"/>
      <c r="C58" s="340" t="str">
        <f t="shared" ref="C58" si="2">C12</f>
        <v>FTE</v>
      </c>
      <c r="D58" s="340" t="str">
        <f t="shared" si="1"/>
        <v>FTE</v>
      </c>
      <c r="E58" s="90" t="s">
        <v>2</v>
      </c>
      <c r="F58" s="535" t="s">
        <v>503</v>
      </c>
      <c r="G58" s="538" t="s">
        <v>503</v>
      </c>
      <c r="H58" s="506" t="s">
        <v>504</v>
      </c>
      <c r="I58" s="36"/>
    </row>
    <row r="59" spans="1:9" ht="15.75" customHeight="1" x14ac:dyDescent="0.25">
      <c r="A59" s="798" t="s">
        <v>506</v>
      </c>
      <c r="B59" s="798"/>
      <c r="C59" s="143">
        <f>SUM('0040:4131'!C57)</f>
        <v>229</v>
      </c>
      <c r="D59" s="143">
        <f>SUM('0040:4131'!D57)</f>
        <v>0</v>
      </c>
      <c r="E59" s="116">
        <f>SUM('0040:4131'!E57)</f>
        <v>458</v>
      </c>
      <c r="F59" s="540" t="s">
        <v>498</v>
      </c>
      <c r="G59" s="540">
        <v>251</v>
      </c>
      <c r="H59" s="508">
        <f>'1461'!H57</f>
        <v>1047</v>
      </c>
      <c r="I59" s="101">
        <f>SUM('0040:4131'!I57)</f>
        <v>479526</v>
      </c>
    </row>
    <row r="60" spans="1:9" x14ac:dyDescent="0.25">
      <c r="A60" s="799"/>
      <c r="B60" s="799"/>
      <c r="C60" s="143">
        <f>SUM('0040:4131'!C58)</f>
        <v>50</v>
      </c>
      <c r="D60" s="143">
        <f>SUM('0040:4131'!D58)</f>
        <v>0</v>
      </c>
      <c r="E60" s="116">
        <f>SUM('0040:4131'!E58)</f>
        <v>100</v>
      </c>
      <c r="F60" s="540" t="s">
        <v>498</v>
      </c>
      <c r="G60" s="540">
        <v>252</v>
      </c>
      <c r="H60" s="508">
        <f>'1461'!H58</f>
        <v>3380</v>
      </c>
      <c r="I60" s="101">
        <f>SUM('0040:4131'!I58)</f>
        <v>338000</v>
      </c>
    </row>
    <row r="61" spans="1:9" x14ac:dyDescent="0.25">
      <c r="A61" s="799"/>
      <c r="B61" s="799"/>
      <c r="C61" s="143">
        <f>SUM('0040:4131'!C59)</f>
        <v>16.5</v>
      </c>
      <c r="D61" s="143">
        <f>SUM('0040:4131'!D59)</f>
        <v>0</v>
      </c>
      <c r="E61" s="116">
        <f>SUM('0040:4131'!E59)</f>
        <v>33</v>
      </c>
      <c r="F61" s="540" t="s">
        <v>498</v>
      </c>
      <c r="G61" s="540">
        <v>253</v>
      </c>
      <c r="H61" s="508">
        <f>'1461'!H59</f>
        <v>6896</v>
      </c>
      <c r="I61" s="101">
        <f>SUM('0040:4131'!I59)</f>
        <v>227568</v>
      </c>
    </row>
    <row r="62" spans="1:9" x14ac:dyDescent="0.25">
      <c r="A62" s="799"/>
      <c r="B62" s="799"/>
      <c r="C62" s="143">
        <f>SUM('0040:4131'!C60)</f>
        <v>518.01</v>
      </c>
      <c r="D62" s="143">
        <f>SUM('0040:4131'!D60)</f>
        <v>0</v>
      </c>
      <c r="E62" s="116">
        <f>SUM('0040:4131'!E60)</f>
        <v>1036.02</v>
      </c>
      <c r="F62" s="541" t="s">
        <v>13</v>
      </c>
      <c r="G62" s="540">
        <v>251</v>
      </c>
      <c r="H62" s="508">
        <f>'1461'!H60</f>
        <v>1173</v>
      </c>
      <c r="I62" s="101">
        <f>SUM('0040:4131'!I60)</f>
        <v>1215251.46</v>
      </c>
    </row>
    <row r="63" spans="1:9" x14ac:dyDescent="0.25">
      <c r="A63" s="799"/>
      <c r="B63" s="799"/>
      <c r="C63" s="143">
        <f>SUM('0040:4131'!C61)</f>
        <v>65.05</v>
      </c>
      <c r="D63" s="143">
        <f>SUM('0040:4131'!D61)</f>
        <v>0</v>
      </c>
      <c r="E63" s="116">
        <f>SUM('0040:4131'!E61)</f>
        <v>130.1</v>
      </c>
      <c r="F63" s="541" t="s">
        <v>13</v>
      </c>
      <c r="G63" s="540">
        <v>252</v>
      </c>
      <c r="H63" s="508">
        <f>'1461'!H61</f>
        <v>3506</v>
      </c>
      <c r="I63" s="101">
        <f>SUM('0040:4131'!I61)</f>
        <v>456130.6</v>
      </c>
    </row>
    <row r="64" spans="1:9" x14ac:dyDescent="0.25">
      <c r="A64" s="799"/>
      <c r="B64" s="799"/>
      <c r="C64" s="143">
        <f>SUM('0040:4131'!C62)</f>
        <v>13</v>
      </c>
      <c r="D64" s="143">
        <f>SUM('0040:4131'!D62)</f>
        <v>0</v>
      </c>
      <c r="E64" s="116">
        <f>SUM('0040:4131'!E62)</f>
        <v>26</v>
      </c>
      <c r="F64" s="541" t="s">
        <v>13</v>
      </c>
      <c r="G64" s="540">
        <v>253</v>
      </c>
      <c r="H64" s="508">
        <f>'1461'!H62</f>
        <v>7023</v>
      </c>
      <c r="I64" s="101">
        <f>SUM('0040:4131'!I62)</f>
        <v>182598</v>
      </c>
    </row>
    <row r="65" spans="1:9" x14ac:dyDescent="0.25">
      <c r="A65" s="799"/>
      <c r="B65" s="799"/>
      <c r="C65" s="143">
        <f>SUM('0040:4131'!C63)</f>
        <v>431.95000000000005</v>
      </c>
      <c r="D65" s="143">
        <f>SUM('0040:4131'!D63)</f>
        <v>0</v>
      </c>
      <c r="E65" s="116">
        <f>SUM('0040:4131'!E63)</f>
        <v>863.90000000000009</v>
      </c>
      <c r="F65" s="541" t="s">
        <v>14</v>
      </c>
      <c r="G65" s="540">
        <v>251</v>
      </c>
      <c r="H65" s="508">
        <f>'1461'!H63</f>
        <v>835</v>
      </c>
      <c r="I65" s="101">
        <f>SUM('0040:4131'!I63)</f>
        <v>721356.5</v>
      </c>
    </row>
    <row r="66" spans="1:9" x14ac:dyDescent="0.25">
      <c r="A66" s="799"/>
      <c r="B66" s="799"/>
      <c r="C66" s="143">
        <f>SUM('0040:4131'!C64)</f>
        <v>80.870000000000019</v>
      </c>
      <c r="D66" s="143">
        <f>SUM('0040:4131'!D64)</f>
        <v>0</v>
      </c>
      <c r="E66" s="116">
        <f>SUM('0040:4131'!E64)</f>
        <v>161.74000000000004</v>
      </c>
      <c r="F66" s="541" t="s">
        <v>14</v>
      </c>
      <c r="G66" s="540">
        <v>252</v>
      </c>
      <c r="H66" s="508">
        <f>'1461'!H64</f>
        <v>3168</v>
      </c>
      <c r="I66" s="101">
        <f>SUM('0040:4131'!I64)</f>
        <v>512392.31999999995</v>
      </c>
    </row>
    <row r="67" spans="1:9" x14ac:dyDescent="0.25">
      <c r="A67" s="799"/>
      <c r="B67" s="799"/>
      <c r="C67" s="143">
        <f>SUM('0040:4131'!C65)</f>
        <v>114.17000000000002</v>
      </c>
      <c r="D67" s="143">
        <f>SUM('0040:4131'!D65)</f>
        <v>0</v>
      </c>
      <c r="E67" s="116">
        <f>SUM('0040:4131'!E65)</f>
        <v>228.34000000000003</v>
      </c>
      <c r="F67" s="541" t="s">
        <v>14</v>
      </c>
      <c r="G67" s="540">
        <v>253</v>
      </c>
      <c r="H67" s="508">
        <f>'1461'!H65</f>
        <v>6685</v>
      </c>
      <c r="I67" s="101">
        <f>SUM('0040:4131'!I65)</f>
        <v>1526452.9</v>
      </c>
    </row>
    <row r="68" spans="1:9" x14ac:dyDescent="0.25">
      <c r="A68" s="536"/>
      <c r="C68" s="97">
        <f>SUM(C59:C67)</f>
        <v>1518.5500000000002</v>
      </c>
      <c r="D68" s="97">
        <f>SUM(D59:D67)</f>
        <v>0</v>
      </c>
      <c r="E68" s="97">
        <f>SUM(E59:E67)</f>
        <v>3037.1000000000004</v>
      </c>
      <c r="F68" s="800" t="s">
        <v>507</v>
      </c>
      <c r="G68" s="800"/>
      <c r="H68" s="800"/>
      <c r="I68" s="97">
        <f>SUM(I59:I67)</f>
        <v>5659275.7799999993</v>
      </c>
    </row>
    <row r="69" spans="1:9" x14ac:dyDescent="0.25">
      <c r="A69" s="542"/>
      <c r="B69" s="542"/>
      <c r="C69" s="599"/>
      <c r="D69" s="542"/>
      <c r="E69" s="542"/>
      <c r="F69" s="34"/>
      <c r="G69" s="537"/>
      <c r="H69" s="537"/>
      <c r="I69" s="101"/>
    </row>
    <row r="70" spans="1:9" x14ac:dyDescent="0.25">
      <c r="A70" s="539" t="s">
        <v>509</v>
      </c>
    </row>
    <row r="71" spans="1:9" x14ac:dyDescent="0.25">
      <c r="A71" s="794" t="s">
        <v>463</v>
      </c>
      <c r="B71" s="788"/>
      <c r="C71" s="112">
        <f>SUM('0040:4131'!C69)</f>
        <v>21948.98</v>
      </c>
      <c r="D71" s="775" t="s">
        <v>474</v>
      </c>
      <c r="E71" s="775"/>
      <c r="F71" s="775"/>
      <c r="G71" s="775"/>
      <c r="H71" s="287">
        <f>'1461'!H69</f>
        <v>210935.24</v>
      </c>
      <c r="I71" s="113"/>
    </row>
    <row r="72" spans="1:9" x14ac:dyDescent="0.25">
      <c r="B72" s="69"/>
      <c r="G72" s="42" t="s">
        <v>12</v>
      </c>
      <c r="H72" s="114">
        <f>ROUND(C71/H71,6)</f>
        <v>0.104056</v>
      </c>
      <c r="I72" s="115"/>
    </row>
    <row r="73" spans="1:9" x14ac:dyDescent="0.25">
      <c r="A73" s="539" t="s">
        <v>510</v>
      </c>
    </row>
    <row r="74" spans="1:9" x14ac:dyDescent="0.25">
      <c r="A74" s="794" t="s">
        <v>464</v>
      </c>
      <c r="B74" s="788"/>
      <c r="C74" s="734">
        <f>SUM('0040:4131'!C72)</f>
        <v>25485.601900000001</v>
      </c>
      <c r="D74" s="775" t="s">
        <v>475</v>
      </c>
      <c r="E74" s="775"/>
      <c r="F74" s="775"/>
      <c r="G74" s="775"/>
      <c r="H74" s="288">
        <f>'1461'!H72</f>
        <v>237601.62</v>
      </c>
      <c r="I74" s="116"/>
    </row>
    <row r="75" spans="1:9" x14ac:dyDescent="0.25">
      <c r="G75" s="42" t="s">
        <v>12</v>
      </c>
      <c r="H75" s="114">
        <f>ROUND(C74/H74,6)</f>
        <v>0.107262</v>
      </c>
      <c r="I75" s="114"/>
    </row>
    <row r="76" spans="1:9" x14ac:dyDescent="0.25">
      <c r="A76" s="468" t="s">
        <v>511</v>
      </c>
      <c r="B76" s="465"/>
      <c r="C76" s="465"/>
      <c r="D76" s="465"/>
      <c r="E76" s="465"/>
      <c r="F76" s="465"/>
      <c r="G76" s="465"/>
      <c r="H76" s="465"/>
      <c r="I76" s="465"/>
    </row>
    <row r="77" spans="1:9" x14ac:dyDescent="0.25">
      <c r="A77" s="794" t="s">
        <v>465</v>
      </c>
      <c r="B77" s="788"/>
      <c r="C77" s="112">
        <f>SUM('0040:4131'!C75)</f>
        <v>21948.98</v>
      </c>
      <c r="D77" s="767" t="s">
        <v>476</v>
      </c>
      <c r="E77" s="767"/>
      <c r="F77" s="767"/>
      <c r="G77" s="767"/>
      <c r="H77" s="287">
        <f>'1461'!H75</f>
        <v>186826.74</v>
      </c>
      <c r="I77" s="113"/>
    </row>
    <row r="78" spans="1:9" x14ac:dyDescent="0.25">
      <c r="B78" s="69"/>
      <c r="G78" s="42" t="s">
        <v>12</v>
      </c>
      <c r="H78" s="114">
        <f>ROUND(C77/H77,6)</f>
        <v>0.117483</v>
      </c>
      <c r="I78" s="115"/>
    </row>
    <row r="79" spans="1:9" x14ac:dyDescent="0.25">
      <c r="A79" s="468" t="s">
        <v>512</v>
      </c>
      <c r="B79" s="465"/>
      <c r="C79" s="465"/>
      <c r="D79" s="465"/>
      <c r="E79" s="465"/>
      <c r="F79" s="465"/>
      <c r="G79" s="465"/>
      <c r="H79" s="465"/>
      <c r="I79" s="465"/>
    </row>
    <row r="80" spans="1:9" x14ac:dyDescent="0.25">
      <c r="A80" s="794" t="s">
        <v>465</v>
      </c>
      <c r="B80" s="788"/>
      <c r="C80" s="112">
        <f>SUM('0040:4131'!C78)</f>
        <v>21948.98</v>
      </c>
      <c r="D80" s="795" t="s">
        <v>477</v>
      </c>
      <c r="E80" s="795"/>
      <c r="F80" s="795"/>
      <c r="G80" s="795"/>
      <c r="H80" s="287">
        <f>'1461'!H78</f>
        <v>210630.63</v>
      </c>
      <c r="I80" s="113"/>
    </row>
    <row r="81" spans="1:11" x14ac:dyDescent="0.25">
      <c r="B81" s="69"/>
      <c r="G81" s="42" t="s">
        <v>12</v>
      </c>
      <c r="H81" s="114">
        <f>ROUND(C80/H80,6)</f>
        <v>0.10420599999999999</v>
      </c>
      <c r="I81" s="115"/>
    </row>
    <row r="82" spans="1:11" x14ac:dyDescent="0.25">
      <c r="A82" s="468" t="s">
        <v>513</v>
      </c>
      <c r="B82" s="465"/>
      <c r="C82" s="465"/>
      <c r="D82" s="465"/>
      <c r="E82" s="465"/>
      <c r="F82" s="465"/>
      <c r="G82" s="465"/>
      <c r="H82" s="465"/>
      <c r="I82" s="465"/>
    </row>
    <row r="83" spans="1:11" x14ac:dyDescent="0.25">
      <c r="A83" s="794" t="s">
        <v>473</v>
      </c>
      <c r="B83" s="788"/>
      <c r="C83" s="112">
        <f>SUM('0040:4131'!C81)</f>
        <v>21948.98</v>
      </c>
      <c r="D83" s="767" t="s">
        <v>478</v>
      </c>
      <c r="E83" s="767"/>
      <c r="F83" s="767"/>
      <c r="G83" s="767"/>
      <c r="H83" s="287">
        <f>'1461'!H81</f>
        <v>186522.13</v>
      </c>
      <c r="I83" s="113"/>
    </row>
    <row r="84" spans="1:11" x14ac:dyDescent="0.25">
      <c r="B84" s="69"/>
      <c r="G84" s="42" t="s">
        <v>12</v>
      </c>
      <c r="H84" s="114">
        <f>ROUND(C83/H83,6)</f>
        <v>0.117675</v>
      </c>
      <c r="I84" s="115"/>
    </row>
    <row r="85" spans="1:11" x14ac:dyDescent="0.25">
      <c r="A85" s="241"/>
      <c r="G85" s="42"/>
      <c r="H85" s="114"/>
      <c r="I85" s="114"/>
    </row>
    <row r="86" spans="1:11" x14ac:dyDescent="0.25">
      <c r="A86" s="539" t="s">
        <v>514</v>
      </c>
      <c r="D86" s="69"/>
      <c r="E86" s="43" t="s">
        <v>316</v>
      </c>
      <c r="F86" s="289">
        <f>'1461'!F85</f>
        <v>46301717</v>
      </c>
      <c r="G86" s="37" t="s">
        <v>6</v>
      </c>
      <c r="H86" s="473">
        <f>H81</f>
        <v>0.10420599999999999</v>
      </c>
      <c r="I86" s="101">
        <f>SUM('0040:4131'!I85)</f>
        <v>4824963.0299999993</v>
      </c>
      <c r="K86" s="236"/>
    </row>
    <row r="87" spans="1:11" x14ac:dyDescent="0.25">
      <c r="A87" s="451"/>
      <c r="D87" s="69"/>
      <c r="E87" s="43"/>
      <c r="F87" s="275"/>
      <c r="G87" s="37"/>
      <c r="H87" s="473"/>
      <c r="I87" s="101"/>
    </row>
    <row r="88" spans="1:11" x14ac:dyDescent="0.25">
      <c r="A88" s="797" t="s">
        <v>71</v>
      </c>
      <c r="B88" s="788"/>
      <c r="C88" s="788"/>
      <c r="D88" s="69"/>
      <c r="E88" s="43"/>
      <c r="F88" s="275"/>
      <c r="G88" s="37"/>
      <c r="H88" s="473"/>
      <c r="I88" s="101"/>
    </row>
    <row r="89" spans="1:11" ht="15.75" customHeight="1" x14ac:dyDescent="0.25">
      <c r="A89" s="797" t="s">
        <v>99</v>
      </c>
      <c r="B89" s="788"/>
      <c r="C89" s="788"/>
      <c r="D89" s="69"/>
      <c r="E89" s="43" t="s">
        <v>3</v>
      </c>
      <c r="F89" s="289">
        <f>'1461'!F88</f>
        <v>0</v>
      </c>
      <c r="G89" s="37" t="s">
        <v>6</v>
      </c>
      <c r="H89" s="473">
        <f>H72</f>
        <v>0.104056</v>
      </c>
      <c r="I89" s="101">
        <f>SUM('0040:4131'!I88)</f>
        <v>0</v>
      </c>
    </row>
    <row r="90" spans="1:11" ht="15.75" customHeight="1" x14ac:dyDescent="0.25">
      <c r="A90" s="482"/>
      <c r="B90" s="69"/>
      <c r="C90" s="69"/>
      <c r="D90" s="69"/>
      <c r="E90" s="43"/>
      <c r="F90" s="275"/>
      <c r="G90" s="37"/>
      <c r="H90" s="473"/>
      <c r="I90" s="101"/>
    </row>
    <row r="91" spans="1:11" x14ac:dyDescent="0.25">
      <c r="A91" s="539" t="s">
        <v>515</v>
      </c>
      <c r="D91" s="69"/>
      <c r="E91" s="43" t="s">
        <v>481</v>
      </c>
      <c r="F91" s="289">
        <f>'1461'!F90</f>
        <v>19125890</v>
      </c>
      <c r="G91" s="37" t="s">
        <v>6</v>
      </c>
      <c r="H91" s="473">
        <f>H84</f>
        <v>0.117675</v>
      </c>
      <c r="I91" s="101">
        <f>SUM('0040:4131'!I90)</f>
        <v>2250658.23</v>
      </c>
    </row>
    <row r="92" spans="1:11" x14ac:dyDescent="0.25">
      <c r="A92" s="451"/>
      <c r="D92" s="69"/>
      <c r="E92" s="43"/>
      <c r="F92" s="275"/>
      <c r="G92" s="37"/>
      <c r="H92" s="473"/>
      <c r="I92" s="101"/>
    </row>
    <row r="93" spans="1:11" x14ac:dyDescent="0.25">
      <c r="A93" s="539" t="s">
        <v>516</v>
      </c>
      <c r="D93" s="69"/>
      <c r="E93" s="43" t="s">
        <v>3</v>
      </c>
      <c r="F93" s="289">
        <f>'1461'!F92</f>
        <v>11511363</v>
      </c>
      <c r="G93" s="37" t="s">
        <v>6</v>
      </c>
      <c r="H93" s="473">
        <f>H78</f>
        <v>0.117483</v>
      </c>
      <c r="I93" s="101">
        <f>SUM('0040:4131'!I92)</f>
        <v>1352389.4799999997</v>
      </c>
    </row>
    <row r="94" spans="1:11" x14ac:dyDescent="0.25">
      <c r="A94" s="81"/>
      <c r="D94" s="69"/>
      <c r="E94" s="43"/>
      <c r="F94" s="116"/>
      <c r="G94" s="37"/>
      <c r="H94" s="469"/>
      <c r="I94" s="101"/>
    </row>
    <row r="95" spans="1:11" x14ac:dyDescent="0.25">
      <c r="A95" s="794" t="s">
        <v>482</v>
      </c>
      <c r="B95" s="788"/>
      <c r="C95" s="788"/>
      <c r="D95" s="69"/>
      <c r="E95" s="43" t="s">
        <v>4</v>
      </c>
      <c r="F95" s="289">
        <f>'1461'!F94</f>
        <v>255756816</v>
      </c>
      <c r="G95" s="37" t="s">
        <v>6</v>
      </c>
      <c r="H95" s="473">
        <f>H75</f>
        <v>0.107262</v>
      </c>
      <c r="I95" s="101">
        <f>SUM('0040:4131'!I94)</f>
        <v>27432987.620000001</v>
      </c>
    </row>
    <row r="96" spans="1:11" x14ac:dyDescent="0.25">
      <c r="A96" s="81"/>
      <c r="B96" s="69"/>
      <c r="C96" s="69"/>
      <c r="D96" s="69"/>
      <c r="E96" s="43"/>
      <c r="F96" s="275"/>
      <c r="G96" s="37"/>
      <c r="H96" s="473"/>
      <c r="I96" s="101">
        <f>SUM('0040:4131'!I95)</f>
        <v>0</v>
      </c>
    </row>
    <row r="97" spans="1:9" x14ac:dyDescent="0.25">
      <c r="A97" s="794" t="s">
        <v>483</v>
      </c>
      <c r="B97" s="788"/>
      <c r="C97" s="788"/>
      <c r="D97" s="69"/>
      <c r="E97" s="43" t="s">
        <v>4</v>
      </c>
      <c r="F97" s="289">
        <f>'1461'!F96</f>
        <v>-15444055</v>
      </c>
      <c r="G97" s="37" t="s">
        <v>6</v>
      </c>
      <c r="H97" s="473">
        <f>H75</f>
        <v>0.107262</v>
      </c>
      <c r="I97" s="101">
        <f>SUM('0040:4131'!I96)</f>
        <v>-1656560.2200000002</v>
      </c>
    </row>
    <row r="98" spans="1:9" x14ac:dyDescent="0.25">
      <c r="A98" s="3"/>
    </row>
    <row r="99" spans="1:9" x14ac:dyDescent="0.25">
      <c r="A99" s="741" t="s">
        <v>556</v>
      </c>
      <c r="B99" s="740"/>
      <c r="C99" s="740"/>
      <c r="D99" s="740"/>
      <c r="E99" s="738" t="s">
        <v>3</v>
      </c>
      <c r="F99" s="289">
        <v>5621424</v>
      </c>
      <c r="G99" s="739" t="s">
        <v>6</v>
      </c>
      <c r="H99" s="473">
        <f>H72</f>
        <v>0.104056</v>
      </c>
      <c r="I99" s="101">
        <f>SUM('0040:4131'!I98)</f>
        <v>584937.25000000012</v>
      </c>
    </row>
    <row r="100" spans="1:9" x14ac:dyDescent="0.25">
      <c r="A100" s="741"/>
      <c r="B100" s="740"/>
      <c r="C100" s="740"/>
      <c r="D100" s="740"/>
      <c r="E100" s="738"/>
      <c r="F100" s="275"/>
      <c r="G100" s="739"/>
      <c r="H100" s="473"/>
      <c r="I100" s="101"/>
    </row>
    <row r="101" spans="1:9" x14ac:dyDescent="0.25">
      <c r="A101" s="741"/>
      <c r="B101" s="740"/>
      <c r="C101" s="740"/>
      <c r="D101" s="740"/>
      <c r="E101" s="738"/>
      <c r="F101" s="275"/>
      <c r="G101" s="739"/>
      <c r="H101" s="473"/>
      <c r="I101" s="101"/>
    </row>
    <row r="102" spans="1:9" x14ac:dyDescent="0.25">
      <c r="A102" s="451" t="s">
        <v>557</v>
      </c>
    </row>
    <row r="103" spans="1:9" x14ac:dyDescent="0.25">
      <c r="B103" s="69"/>
      <c r="C103" s="773" t="s">
        <v>60</v>
      </c>
      <c r="D103" s="773"/>
      <c r="E103" s="69"/>
      <c r="F103" s="39" t="s">
        <v>28</v>
      </c>
      <c r="G103" s="69"/>
      <c r="H103" s="69"/>
      <c r="I103" s="69"/>
    </row>
    <row r="104" spans="1:9" x14ac:dyDescent="0.25">
      <c r="A104" s="3"/>
      <c r="B104" s="118"/>
      <c r="C104" s="774" t="s">
        <v>101</v>
      </c>
      <c r="D104" s="774"/>
      <c r="E104" s="119" t="s">
        <v>485</v>
      </c>
      <c r="F104" s="120" t="s">
        <v>106</v>
      </c>
      <c r="G104" s="121"/>
      <c r="H104" s="121"/>
      <c r="I104" s="121"/>
    </row>
    <row r="105" spans="1:9" x14ac:dyDescent="0.25">
      <c r="A105" s="26"/>
      <c r="B105" s="52" t="s">
        <v>105</v>
      </c>
      <c r="C105" s="806">
        <f>SUM('1461:4131'!C104)</f>
        <v>8033.5982000000004</v>
      </c>
      <c r="D105" s="806">
        <f>SUM('1461:4131'!D101)</f>
        <v>0</v>
      </c>
      <c r="E105" s="46">
        <f>'1461'!E104</f>
        <v>1.0407999999999999</v>
      </c>
      <c r="F105" s="290">
        <f>'1461'!F104</f>
        <v>950.92</v>
      </c>
      <c r="G105" s="39" t="s">
        <v>12</v>
      </c>
      <c r="H105" s="101">
        <f>SUM('0040:4131'!H104)</f>
        <v>7976605.9100000011</v>
      </c>
      <c r="I105" s="104"/>
    </row>
    <row r="106" spans="1:9" x14ac:dyDescent="0.25">
      <c r="A106" s="49"/>
      <c r="B106" s="49" t="s">
        <v>104</v>
      </c>
      <c r="C106" s="806">
        <f>SUM('1461:4131'!C105)</f>
        <v>9870.9071000000022</v>
      </c>
      <c r="D106" s="806">
        <f>SUM('1461:4131'!D102)</f>
        <v>0</v>
      </c>
      <c r="E106" s="46">
        <f>'1461'!E105</f>
        <v>1.0407999999999999</v>
      </c>
      <c r="F106" s="290">
        <f>'1461'!F105</f>
        <v>907.92</v>
      </c>
      <c r="G106" s="39" t="s">
        <v>12</v>
      </c>
      <c r="H106" s="101">
        <f>SUM('0040:4131'!H105)</f>
        <v>9369556.2500000019</v>
      </c>
    </row>
    <row r="107" spans="1:9" x14ac:dyDescent="0.25">
      <c r="A107" s="52"/>
      <c r="B107" s="52" t="s">
        <v>103</v>
      </c>
      <c r="C107" s="806">
        <f>SUM('1461:4131'!C106)</f>
        <v>7508.9075999999995</v>
      </c>
      <c r="D107" s="806">
        <f>SUM('1461:4131'!D103)</f>
        <v>0</v>
      </c>
      <c r="E107" s="46">
        <f>'1461'!E106</f>
        <v>1.0407999999999999</v>
      </c>
      <c r="F107" s="290">
        <f>'1461'!F106</f>
        <v>910.12</v>
      </c>
      <c r="G107" s="39" t="s">
        <v>12</v>
      </c>
      <c r="H107" s="101">
        <f>SUM('0040:4131'!H106)</f>
        <v>7114687.3000000017</v>
      </c>
    </row>
    <row r="108" spans="1:9" ht="16.5" thickBot="1" x14ac:dyDescent="0.3">
      <c r="A108" s="55"/>
      <c r="B108" s="122" t="s">
        <v>102</v>
      </c>
      <c r="C108" s="796">
        <f>SUM(C105:C107)</f>
        <v>25413.412900000003</v>
      </c>
      <c r="D108" s="796"/>
      <c r="E108" s="123"/>
      <c r="F108" s="123"/>
      <c r="G108" s="123"/>
      <c r="H108" s="124" t="s">
        <v>100</v>
      </c>
      <c r="I108" s="101">
        <f>SUM('1461:4131'!I107)</f>
        <v>24391470.829999998</v>
      </c>
    </row>
    <row r="109" spans="1:9" ht="16.5" thickTop="1" x14ac:dyDescent="0.25">
      <c r="A109" s="765" t="s">
        <v>65</v>
      </c>
      <c r="B109" s="765"/>
      <c r="C109" s="765"/>
      <c r="D109" s="765"/>
      <c r="E109" s="765"/>
      <c r="F109" s="765"/>
      <c r="G109" s="765"/>
      <c r="H109" s="765"/>
      <c r="I109" s="765"/>
    </row>
    <row r="110" spans="1:9" x14ac:dyDescent="0.25">
      <c r="A110" s="483"/>
      <c r="B110" s="483"/>
      <c r="C110" s="483"/>
      <c r="D110" s="483"/>
      <c r="E110" s="483"/>
      <c r="F110" s="483"/>
      <c r="G110" s="483"/>
      <c r="H110" s="483"/>
      <c r="I110" s="483"/>
    </row>
    <row r="111" spans="1:9" x14ac:dyDescent="0.25">
      <c r="A111" s="741" t="s">
        <v>558</v>
      </c>
      <c r="C111" s="43"/>
      <c r="D111" s="69"/>
      <c r="E111" s="43" t="s">
        <v>32</v>
      </c>
      <c r="F111" s="766"/>
      <c r="G111" s="766"/>
      <c r="H111" s="766"/>
      <c r="I111" s="766"/>
    </row>
    <row r="112" spans="1:9" x14ac:dyDescent="0.25">
      <c r="B112" s="69"/>
      <c r="C112" s="88" t="s">
        <v>581</v>
      </c>
      <c r="D112" s="349" t="s">
        <v>582</v>
      </c>
      <c r="E112" s="89" t="s">
        <v>107</v>
      </c>
      <c r="F112" s="43"/>
      <c r="G112" s="43"/>
      <c r="H112" s="43"/>
      <c r="I112" s="43"/>
    </row>
    <row r="113" spans="1:9" x14ac:dyDescent="0.25">
      <c r="B113" s="69"/>
      <c r="C113" s="340" t="s">
        <v>2</v>
      </c>
      <c r="D113" s="340" t="s">
        <v>2</v>
      </c>
      <c r="E113" s="90" t="s">
        <v>2</v>
      </c>
      <c r="F113" s="43"/>
      <c r="G113" s="43"/>
      <c r="H113" s="43"/>
      <c r="I113" s="43"/>
    </row>
    <row r="114" spans="1:9" x14ac:dyDescent="0.25">
      <c r="A114" s="767" t="s">
        <v>443</v>
      </c>
      <c r="B114" s="768"/>
      <c r="C114" s="143">
        <f>SUM('0040:4131'!C113)</f>
        <v>3893</v>
      </c>
      <c r="D114" s="143">
        <f>SUM('0040:4131'!D113)</f>
        <v>0</v>
      </c>
      <c r="E114" s="116">
        <f>SUM('0040:4131'!E113)</f>
        <v>3893</v>
      </c>
      <c r="F114" s="126" t="s">
        <v>30</v>
      </c>
      <c r="G114" s="291">
        <f>'1461'!G113</f>
        <v>607</v>
      </c>
      <c r="I114" s="101">
        <f>SUM('0040:4131'!I113)</f>
        <v>2363051</v>
      </c>
    </row>
    <row r="115" spans="1:9" x14ac:dyDescent="0.25">
      <c r="A115" s="767" t="s">
        <v>444</v>
      </c>
      <c r="B115" s="768"/>
      <c r="C115" s="143">
        <f>SUM('0040:4131'!C114)</f>
        <v>2</v>
      </c>
      <c r="D115" s="143">
        <f>SUM('0040:4131'!D114)</f>
        <v>0</v>
      </c>
      <c r="E115" s="116">
        <f>SUM('0040:4131'!E114)</f>
        <v>2</v>
      </c>
      <c r="F115" s="126" t="s">
        <v>30</v>
      </c>
      <c r="G115" s="291">
        <f>'1461'!G114</f>
        <v>1842</v>
      </c>
      <c r="I115" s="101">
        <f>SUM('0040:4131'!I114)</f>
        <v>3684</v>
      </c>
    </row>
    <row r="116" spans="1:9" hidden="1" x14ac:dyDescent="0.25">
      <c r="A116" s="127"/>
      <c r="B116" s="127"/>
      <c r="C116" s="65"/>
      <c r="D116" s="65"/>
      <c r="E116" s="65"/>
      <c r="F116" s="65"/>
      <c r="G116" s="128"/>
      <c r="H116" s="129"/>
      <c r="I116" s="101"/>
    </row>
    <row r="117" spans="1:9" x14ac:dyDescent="0.25">
      <c r="A117" s="127"/>
      <c r="B117" s="127"/>
      <c r="C117" s="65"/>
      <c r="D117" s="65"/>
      <c r="E117" s="65"/>
      <c r="F117" s="65"/>
      <c r="G117" s="128"/>
      <c r="H117" s="129"/>
      <c r="I117" s="101"/>
    </row>
    <row r="118" spans="1:9" ht="15.75" hidden="1" customHeight="1" x14ac:dyDescent="0.25">
      <c r="A118" s="794" t="s">
        <v>490</v>
      </c>
      <c r="B118" s="788"/>
      <c r="C118" s="788"/>
      <c r="D118" s="69"/>
      <c r="E118" s="39" t="s">
        <v>317</v>
      </c>
      <c r="F118" s="773"/>
      <c r="G118" s="773"/>
      <c r="H118" s="773"/>
      <c r="I118" s="773"/>
    </row>
    <row r="119" spans="1:9" hidden="1" x14ac:dyDescent="0.25">
      <c r="B119" s="69"/>
      <c r="C119" s="774" t="s">
        <v>66</v>
      </c>
      <c r="D119" s="774"/>
      <c r="E119" s="774"/>
      <c r="F119" s="37"/>
      <c r="G119" s="37"/>
      <c r="H119" s="39" t="s">
        <v>108</v>
      </c>
      <c r="I119" s="37"/>
    </row>
    <row r="120" spans="1:9" hidden="1" x14ac:dyDescent="0.25">
      <c r="B120" s="69"/>
      <c r="C120" s="88" t="str">
        <f>C112</f>
        <v>Oct 2024</v>
      </c>
      <c r="D120" s="88" t="str">
        <f>D112</f>
        <v>Feb 2025</v>
      </c>
      <c r="E120" s="137" t="s">
        <v>8</v>
      </c>
      <c r="F120" s="775" t="s">
        <v>109</v>
      </c>
      <c r="G120" s="773"/>
      <c r="H120" s="37" t="s">
        <v>29</v>
      </c>
      <c r="I120" s="37"/>
    </row>
    <row r="121" spans="1:9" ht="15.75" hidden="1" customHeight="1" x14ac:dyDescent="0.25">
      <c r="A121" s="774" t="s">
        <v>69</v>
      </c>
      <c r="B121" s="774"/>
      <c r="C121" s="90" t="s">
        <v>2</v>
      </c>
      <c r="D121" s="90" t="s">
        <v>2</v>
      </c>
      <c r="E121" s="59" t="s">
        <v>2</v>
      </c>
      <c r="F121" s="774" t="s">
        <v>28</v>
      </c>
      <c r="G121" s="774"/>
      <c r="H121" s="59" t="s">
        <v>28</v>
      </c>
      <c r="I121" s="59" t="s">
        <v>8</v>
      </c>
    </row>
    <row r="122" spans="1:9" ht="15.75" hidden="1" customHeight="1" x14ac:dyDescent="0.25">
      <c r="A122" s="771" t="s">
        <v>56</v>
      </c>
      <c r="B122" s="771"/>
      <c r="C122" s="141">
        <v>0</v>
      </c>
      <c r="D122" s="141">
        <v>0</v>
      </c>
      <c r="E122" s="187">
        <f>IF(D31=0,C122*2,C122+D122)</f>
        <v>0</v>
      </c>
      <c r="F122" s="772">
        <v>0</v>
      </c>
      <c r="G122" s="772"/>
      <c r="H122" s="223">
        <f>IF(C122=0,0,125)</f>
        <v>0</v>
      </c>
      <c r="I122" s="101">
        <f>ROUND((H122+F122)*E122,2)</f>
        <v>0</v>
      </c>
    </row>
    <row r="123" spans="1:9" ht="15.75" hidden="1" customHeight="1" x14ac:dyDescent="0.25">
      <c r="A123" s="791" t="s">
        <v>57</v>
      </c>
      <c r="B123" s="791"/>
      <c r="C123" s="143">
        <v>0</v>
      </c>
      <c r="D123" s="143">
        <v>0</v>
      </c>
      <c r="E123" s="116">
        <f>IF(D32=0,C123*2,C123+D123)</f>
        <v>0</v>
      </c>
      <c r="F123" s="808">
        <f>ROUND(F122/2,2)</f>
        <v>0</v>
      </c>
      <c r="G123" s="808"/>
      <c r="H123" s="223">
        <f>IF(C123=0,0,62.5)</f>
        <v>0</v>
      </c>
      <c r="I123" s="101">
        <f>ROUND((H123+F123)*E123,2)</f>
        <v>0</v>
      </c>
    </row>
    <row r="124" spans="1:9" ht="15.75" hidden="1" customHeight="1" x14ac:dyDescent="0.25">
      <c r="A124" s="791" t="s">
        <v>58</v>
      </c>
      <c r="B124" s="791"/>
      <c r="C124" s="143">
        <v>0</v>
      </c>
      <c r="D124" s="143">
        <v>0</v>
      </c>
      <c r="E124" s="116">
        <f>IF(D33=0,C124*2,C124+D124)</f>
        <v>0</v>
      </c>
      <c r="F124" s="809"/>
      <c r="G124" s="809"/>
      <c r="H124" s="224">
        <f>IF(H122&gt;0,436,0)</f>
        <v>0</v>
      </c>
      <c r="I124" s="101">
        <f>ROUND(H124*E124,2)</f>
        <v>0</v>
      </c>
    </row>
    <row r="125" spans="1:9" ht="16.5" hidden="1" customHeight="1" x14ac:dyDescent="0.25">
      <c r="A125" s="773" t="s">
        <v>8</v>
      </c>
      <c r="B125" s="773"/>
      <c r="C125" s="65"/>
      <c r="D125" s="65"/>
      <c r="E125" s="65"/>
      <c r="F125" s="65"/>
      <c r="G125" s="65"/>
      <c r="H125" s="65"/>
      <c r="I125" s="97">
        <f>SUM(I122:I124)</f>
        <v>0</v>
      </c>
    </row>
    <row r="126" spans="1:9" hidden="1" x14ac:dyDescent="0.25">
      <c r="A126" s="37"/>
      <c r="B126" s="37"/>
      <c r="C126" s="65"/>
      <c r="D126" s="65"/>
      <c r="E126" s="65"/>
      <c r="F126" s="65"/>
      <c r="G126" s="65"/>
      <c r="H126" s="65"/>
      <c r="I126" s="101"/>
    </row>
    <row r="127" spans="1:9" x14ac:dyDescent="0.25">
      <c r="A127" s="794" t="s">
        <v>492</v>
      </c>
      <c r="B127" s="788"/>
      <c r="C127" s="788"/>
      <c r="D127" s="69"/>
      <c r="E127" s="68" t="s">
        <v>34</v>
      </c>
      <c r="F127" s="807"/>
      <c r="G127" s="807"/>
      <c r="H127" s="807"/>
      <c r="I127" s="154">
        <f>SUM('1461:4131'!I126)</f>
        <v>0</v>
      </c>
    </row>
    <row r="128" spans="1:9" x14ac:dyDescent="0.25">
      <c r="B128" s="69"/>
      <c r="C128" s="69"/>
      <c r="D128" s="69"/>
      <c r="E128" s="68"/>
      <c r="F128" s="68"/>
      <c r="G128" s="68"/>
      <c r="H128" s="68"/>
      <c r="I128" s="116"/>
    </row>
    <row r="129" spans="1:10" x14ac:dyDescent="0.25">
      <c r="A129" s="800" t="s">
        <v>8</v>
      </c>
      <c r="B129" s="800"/>
      <c r="C129" s="800"/>
      <c r="D129" s="800"/>
      <c r="E129" s="800"/>
      <c r="F129" s="800"/>
      <c r="G129" s="800"/>
      <c r="H129" s="800"/>
      <c r="I129" s="94">
        <f>SUM('0040:4131'!I128)</f>
        <v>206113860.23999998</v>
      </c>
      <c r="J129" s="250"/>
    </row>
    <row r="130" spans="1:10" x14ac:dyDescent="0.25">
      <c r="A130" s="26"/>
      <c r="B130" s="26"/>
      <c r="C130" s="26"/>
      <c r="D130" s="26"/>
      <c r="E130" s="26"/>
      <c r="F130" s="26"/>
      <c r="G130" s="26"/>
      <c r="H130" s="26"/>
      <c r="I130" s="101"/>
      <c r="J130" s="250"/>
    </row>
    <row r="131" spans="1:10" x14ac:dyDescent="0.25">
      <c r="A131" s="81" t="s">
        <v>523</v>
      </c>
      <c r="B131" s="26"/>
      <c r="C131" s="26"/>
      <c r="D131" s="26"/>
      <c r="E131" s="26"/>
      <c r="F131" s="26"/>
      <c r="G131" s="26"/>
      <c r="H131" s="26"/>
      <c r="I131" s="101">
        <f>SUM('0040:4131'!I130)</f>
        <v>196870558.41</v>
      </c>
      <c r="J131" s="250"/>
    </row>
    <row r="132" spans="1:10" x14ac:dyDescent="0.25">
      <c r="A132" s="26"/>
      <c r="B132" s="26"/>
      <c r="C132" s="26"/>
      <c r="D132" s="26"/>
      <c r="E132" s="26"/>
      <c r="F132" s="26"/>
      <c r="G132" s="26"/>
      <c r="H132" s="26"/>
      <c r="I132" s="101"/>
      <c r="J132" s="250"/>
    </row>
    <row r="133" spans="1:10" x14ac:dyDescent="0.25">
      <c r="A133" s="794" t="s">
        <v>524</v>
      </c>
      <c r="B133" s="788"/>
      <c r="C133" s="788"/>
      <c r="D133" s="788"/>
      <c r="E133" s="788"/>
      <c r="F133" s="788"/>
      <c r="G133" s="788"/>
      <c r="H133" s="81" t="s">
        <v>375</v>
      </c>
      <c r="I133" s="134"/>
      <c r="J133" s="250"/>
    </row>
    <row r="134" spans="1:10" x14ac:dyDescent="0.25">
      <c r="A134" s="788" t="s">
        <v>70</v>
      </c>
      <c r="B134" s="788"/>
      <c r="C134" s="788"/>
      <c r="D134" s="788"/>
      <c r="E134" s="788"/>
      <c r="F134" s="788"/>
      <c r="G134" s="788"/>
      <c r="H134" s="70"/>
      <c r="I134" s="116">
        <f>SUM('0040:4131'!I130)</f>
        <v>196870558.41</v>
      </c>
    </row>
    <row r="135" spans="1:10" x14ac:dyDescent="0.25">
      <c r="B135" s="69"/>
      <c r="C135" s="69"/>
      <c r="D135" s="69"/>
      <c r="E135" s="69"/>
      <c r="F135" s="69"/>
      <c r="G135" s="69"/>
      <c r="H135" s="65"/>
      <c r="I135" s="101"/>
    </row>
    <row r="136" spans="1:10" x14ac:dyDescent="0.25">
      <c r="A136" s="3" t="s">
        <v>73</v>
      </c>
      <c r="B136" s="69"/>
      <c r="C136" s="69"/>
      <c r="D136" s="69"/>
      <c r="E136" s="69"/>
      <c r="F136" s="69"/>
      <c r="G136" s="257"/>
      <c r="H136" s="139">
        <f>IF(H134=1,I134,I131)</f>
        <v>196870558.41</v>
      </c>
      <c r="I136" s="94">
        <f>SUM('0040:4131'!I135)</f>
        <v>-3233304.4200000004</v>
      </c>
    </row>
    <row r="137" spans="1:10" x14ac:dyDescent="0.25">
      <c r="B137" s="69"/>
      <c r="C137" s="69"/>
      <c r="D137" s="69"/>
      <c r="E137" s="69"/>
      <c r="F137" s="69"/>
      <c r="G137" s="69"/>
      <c r="H137" s="65"/>
      <c r="I137" s="101"/>
    </row>
    <row r="138" spans="1:10" x14ac:dyDescent="0.25">
      <c r="A138" s="308" t="s">
        <v>74</v>
      </c>
      <c r="B138" s="309"/>
      <c r="C138" s="309"/>
      <c r="D138" s="309"/>
      <c r="E138" s="309"/>
      <c r="F138" s="309"/>
      <c r="G138" s="309"/>
      <c r="H138" s="310"/>
      <c r="I138" s="311">
        <f>SUM('0040:4131'!I137)</f>
        <v>202880555.82000005</v>
      </c>
    </row>
    <row r="139" spans="1:10" x14ac:dyDescent="0.25">
      <c r="B139" s="69"/>
      <c r="C139" s="69"/>
      <c r="D139" s="69"/>
      <c r="E139" s="69"/>
      <c r="F139" s="69"/>
      <c r="G139" s="69"/>
      <c r="H139" s="65"/>
      <c r="I139" s="101"/>
    </row>
    <row r="140" spans="1:10" x14ac:dyDescent="0.25">
      <c r="A140" s="3" t="s">
        <v>75</v>
      </c>
      <c r="B140" s="69"/>
      <c r="C140" s="140"/>
      <c r="D140" s="69"/>
      <c r="F140" s="69"/>
      <c r="G140" s="69"/>
      <c r="H140" s="65"/>
      <c r="I140" s="271">
        <f>SUM('0040:4131'!I139)</f>
        <v>0</v>
      </c>
    </row>
    <row r="141" spans="1:10" x14ac:dyDescent="0.25">
      <c r="B141" s="69"/>
      <c r="C141" s="69"/>
      <c r="D141" s="69"/>
      <c r="E141" s="69"/>
      <c r="F141" s="69"/>
      <c r="G141" s="69"/>
      <c r="H141" s="65"/>
      <c r="I141" s="101"/>
    </row>
    <row r="142" spans="1:10" x14ac:dyDescent="0.25">
      <c r="A142" s="3" t="s">
        <v>246</v>
      </c>
      <c r="B142" s="69"/>
      <c r="C142" s="69"/>
      <c r="D142" s="69"/>
      <c r="E142" s="69"/>
      <c r="F142" s="69"/>
      <c r="G142" s="69"/>
      <c r="H142" s="65"/>
      <c r="I142" s="101">
        <f>SUM('0040:4131'!I141)</f>
        <v>202880555.82000005</v>
      </c>
    </row>
    <row r="143" spans="1:10" x14ac:dyDescent="0.25">
      <c r="A143" s="3"/>
      <c r="B143" s="69"/>
      <c r="C143" s="69"/>
      <c r="D143" s="69"/>
      <c r="E143" s="69"/>
      <c r="F143" s="69"/>
      <c r="G143" s="69"/>
      <c r="H143" s="65"/>
      <c r="I143" s="101"/>
    </row>
    <row r="144" spans="1:10" x14ac:dyDescent="0.25">
      <c r="A144" s="3" t="s">
        <v>247</v>
      </c>
      <c r="B144" s="69"/>
      <c r="C144" s="69"/>
      <c r="D144" s="69"/>
      <c r="E144" s="69"/>
      <c r="F144" s="69"/>
      <c r="G144" s="69"/>
      <c r="H144" s="65"/>
      <c r="I144" s="272">
        <f>'1461'!I143</f>
        <v>12</v>
      </c>
    </row>
    <row r="145" spans="1:13" x14ac:dyDescent="0.25">
      <c r="B145" s="69"/>
      <c r="C145" s="69"/>
      <c r="D145" s="69"/>
      <c r="E145" s="69"/>
      <c r="F145" s="69"/>
      <c r="G145" s="69"/>
      <c r="H145" s="65"/>
      <c r="I145" s="101"/>
    </row>
    <row r="146" spans="1:13" ht="16.5" thickBot="1" x14ac:dyDescent="0.3">
      <c r="A146" s="3" t="s">
        <v>76</v>
      </c>
      <c r="B146" s="69"/>
      <c r="C146" s="69"/>
      <c r="D146" s="69"/>
      <c r="E146" s="69"/>
      <c r="F146" s="69"/>
      <c r="G146" s="69"/>
      <c r="H146" s="65"/>
      <c r="I146" s="155">
        <f>SUM('0040:4131'!I145)</f>
        <v>16906713.019999992</v>
      </c>
      <c r="K146" s="469"/>
      <c r="L146" s="469"/>
      <c r="M146" s="469"/>
    </row>
    <row r="147" spans="1:13" s="135" customFormat="1" ht="16.5" thickTop="1" x14ac:dyDescent="0.25">
      <c r="A147" s="476"/>
      <c r="B147" s="476"/>
      <c r="C147" s="477"/>
      <c r="D147" s="478"/>
      <c r="E147" s="479"/>
      <c r="F147" s="222"/>
      <c r="G147" s="480"/>
      <c r="H147" s="481"/>
      <c r="I147" s="475"/>
    </row>
    <row r="148" spans="1:13" x14ac:dyDescent="0.25">
      <c r="A148" s="769" t="s">
        <v>7</v>
      </c>
      <c r="B148" s="769"/>
      <c r="C148" s="769"/>
      <c r="D148" s="769"/>
      <c r="E148" s="769"/>
      <c r="F148" s="769"/>
      <c r="G148" s="769"/>
      <c r="H148" s="769"/>
    </row>
    <row r="149" spans="1:13" ht="26.25" customHeight="1" x14ac:dyDescent="0.25">
      <c r="A149" s="770" t="s">
        <v>525</v>
      </c>
      <c r="B149" s="770"/>
      <c r="C149" s="770"/>
      <c r="D149" s="770"/>
      <c r="E149" s="770"/>
      <c r="F149" s="770"/>
      <c r="G149" s="770"/>
      <c r="H149" s="770"/>
    </row>
    <row r="150" spans="1:13" x14ac:dyDescent="0.25">
      <c r="A150" s="769" t="s">
        <v>435</v>
      </c>
      <c r="B150" s="769"/>
      <c r="C150" s="769"/>
      <c r="D150" s="769"/>
      <c r="E150" s="769"/>
      <c r="F150" s="769"/>
      <c r="G150" s="769"/>
      <c r="H150" s="769"/>
    </row>
    <row r="151" spans="1:13" x14ac:dyDescent="0.25">
      <c r="A151" s="769" t="s">
        <v>436</v>
      </c>
      <c r="B151" s="769"/>
      <c r="C151" s="769"/>
      <c r="D151" s="769"/>
      <c r="E151" s="769"/>
      <c r="F151" s="769"/>
      <c r="G151" s="769"/>
      <c r="H151" s="769"/>
    </row>
    <row r="152" spans="1:13" x14ac:dyDescent="0.25">
      <c r="A152" s="769" t="s">
        <v>437</v>
      </c>
      <c r="B152" s="769"/>
      <c r="C152" s="769"/>
      <c r="D152" s="769"/>
      <c r="E152" s="769"/>
      <c r="F152" s="769"/>
      <c r="G152" s="769"/>
      <c r="H152" s="769"/>
    </row>
    <row r="153" spans="1:13" x14ac:dyDescent="0.25">
      <c r="A153" s="769" t="s">
        <v>438</v>
      </c>
      <c r="B153" s="769"/>
      <c r="C153" s="769"/>
      <c r="D153" s="769"/>
      <c r="E153" s="769"/>
      <c r="F153" s="769"/>
      <c r="G153" s="769"/>
      <c r="H153" s="769"/>
    </row>
    <row r="154" spans="1:13" x14ac:dyDescent="0.25">
      <c r="A154" s="769" t="s">
        <v>439</v>
      </c>
      <c r="B154" s="769"/>
      <c r="C154" s="769"/>
      <c r="D154" s="769"/>
      <c r="E154" s="769"/>
      <c r="F154" s="769"/>
      <c r="G154" s="769"/>
      <c r="H154" s="769"/>
    </row>
    <row r="155" spans="1:13" ht="26.25" customHeight="1" x14ac:dyDescent="0.25">
      <c r="A155" s="802" t="s">
        <v>526</v>
      </c>
      <c r="B155" s="802"/>
      <c r="C155" s="802"/>
      <c r="D155" s="802"/>
      <c r="E155" s="802"/>
      <c r="F155" s="802"/>
      <c r="G155" s="802"/>
      <c r="H155" s="802"/>
    </row>
    <row r="156" spans="1:13" ht="26.25" customHeight="1" x14ac:dyDescent="0.25">
      <c r="A156" s="770" t="s">
        <v>527</v>
      </c>
      <c r="B156" s="770"/>
      <c r="C156" s="770"/>
      <c r="D156" s="770"/>
      <c r="E156" s="770"/>
      <c r="F156" s="770"/>
      <c r="G156" s="770"/>
      <c r="H156" s="770"/>
    </row>
    <row r="157" spans="1:13" ht="26.25" customHeight="1" x14ac:dyDescent="0.25">
      <c r="A157" s="770" t="s">
        <v>445</v>
      </c>
      <c r="B157" s="770"/>
      <c r="C157" s="770"/>
      <c r="D157" s="770"/>
      <c r="E157" s="770"/>
      <c r="F157" s="770"/>
      <c r="G157" s="770"/>
      <c r="H157" s="770"/>
    </row>
    <row r="158" spans="1:13" ht="16.5" customHeight="1" x14ac:dyDescent="0.25">
      <c r="A158" s="543" t="s">
        <v>287</v>
      </c>
      <c r="B158" s="543"/>
      <c r="C158" s="543"/>
      <c r="D158" s="543"/>
      <c r="E158" s="543"/>
      <c r="F158" s="543"/>
      <c r="G158" s="543"/>
      <c r="H158" s="543"/>
    </row>
    <row r="159" spans="1:13" ht="26.25" customHeight="1" x14ac:dyDescent="0.25">
      <c r="A159" s="802" t="s">
        <v>528</v>
      </c>
      <c r="B159" s="802"/>
      <c r="C159" s="802"/>
      <c r="D159" s="802"/>
      <c r="E159" s="802"/>
      <c r="F159" s="802"/>
      <c r="G159" s="802"/>
      <c r="H159" s="802"/>
    </row>
    <row r="160" spans="1:13" ht="26.25" customHeight="1" x14ac:dyDescent="0.25">
      <c r="A160" s="802" t="s">
        <v>529</v>
      </c>
      <c r="B160" s="802"/>
      <c r="C160" s="802"/>
      <c r="D160" s="802"/>
      <c r="E160" s="802"/>
      <c r="F160" s="802"/>
      <c r="G160" s="802"/>
      <c r="H160" s="802"/>
    </row>
    <row r="161" spans="1:8" x14ac:dyDescent="0.25">
      <c r="A161" s="801" t="s">
        <v>67</v>
      </c>
      <c r="B161" s="802"/>
      <c r="C161" s="802"/>
      <c r="D161" s="802"/>
      <c r="E161" s="802"/>
      <c r="F161" s="802"/>
      <c r="G161" s="802"/>
      <c r="H161" s="802"/>
    </row>
    <row r="162" spans="1:8" ht="54.75" customHeight="1" x14ac:dyDescent="0.25">
      <c r="A162" s="803" t="s">
        <v>530</v>
      </c>
      <c r="B162" s="803"/>
      <c r="C162" s="803"/>
      <c r="D162" s="803"/>
      <c r="E162" s="803"/>
      <c r="F162" s="803"/>
      <c r="G162" s="803"/>
      <c r="H162" s="803"/>
    </row>
    <row r="163" spans="1:8" ht="42.75" customHeight="1" x14ac:dyDescent="0.25">
      <c r="A163" s="803" t="s">
        <v>531</v>
      </c>
      <c r="B163" s="803"/>
      <c r="C163" s="803"/>
      <c r="D163" s="803"/>
      <c r="E163" s="803"/>
      <c r="F163" s="803"/>
      <c r="G163" s="803"/>
      <c r="H163" s="803"/>
    </row>
    <row r="164" spans="1:8" x14ac:dyDescent="0.25">
      <c r="A164" s="544"/>
      <c r="B164" s="544"/>
      <c r="C164" s="544"/>
      <c r="D164" s="544"/>
      <c r="E164" s="544"/>
      <c r="F164" s="544"/>
      <c r="G164" s="544"/>
      <c r="H164" s="544"/>
    </row>
    <row r="165" spans="1:8" x14ac:dyDescent="0.25">
      <c r="A165" s="804" t="s">
        <v>68</v>
      </c>
      <c r="B165" s="804"/>
      <c r="C165" s="804"/>
      <c r="D165" s="804"/>
      <c r="E165" s="804"/>
      <c r="F165" s="804"/>
      <c r="G165" s="804"/>
      <c r="H165" s="804"/>
    </row>
    <row r="166" spans="1:8" ht="26.25" customHeight="1" x14ac:dyDescent="0.25">
      <c r="A166" s="803" t="s">
        <v>532</v>
      </c>
      <c r="B166" s="803"/>
      <c r="C166" s="803"/>
      <c r="D166" s="803"/>
      <c r="E166" s="803"/>
      <c r="F166" s="803"/>
      <c r="G166" s="803"/>
      <c r="H166" s="803"/>
    </row>
    <row r="167" spans="1:8" x14ac:dyDescent="0.25">
      <c r="A167" s="805" t="s">
        <v>11</v>
      </c>
      <c r="B167" s="805"/>
      <c r="C167" s="805"/>
      <c r="D167" s="805"/>
      <c r="E167" s="805"/>
      <c r="F167" s="805"/>
      <c r="G167" s="805"/>
      <c r="H167" s="805"/>
    </row>
  </sheetData>
  <mergeCells count="114">
    <mergeCell ref="A161:H161"/>
    <mergeCell ref="A162:H162"/>
    <mergeCell ref="A163:H163"/>
    <mergeCell ref="A165:H165"/>
    <mergeCell ref="A166:H166"/>
    <mergeCell ref="A167:H167"/>
    <mergeCell ref="C105:D105"/>
    <mergeCell ref="C106:D106"/>
    <mergeCell ref="C107:D107"/>
    <mergeCell ref="A127:C127"/>
    <mergeCell ref="A155:H155"/>
    <mergeCell ref="A156:H156"/>
    <mergeCell ref="A157:H157"/>
    <mergeCell ref="A159:H159"/>
    <mergeCell ref="A160:H160"/>
    <mergeCell ref="F127:H127"/>
    <mergeCell ref="A129:H129"/>
    <mergeCell ref="A133:G133"/>
    <mergeCell ref="A134:G134"/>
    <mergeCell ref="A123:B123"/>
    <mergeCell ref="F123:G123"/>
    <mergeCell ref="A124:B124"/>
    <mergeCell ref="F124:G124"/>
    <mergeCell ref="A118:C118"/>
    <mergeCell ref="A41:B41"/>
    <mergeCell ref="A42:B42"/>
    <mergeCell ref="A43:B43"/>
    <mergeCell ref="A44:B44"/>
    <mergeCell ref="A80:B80"/>
    <mergeCell ref="D80:G80"/>
    <mergeCell ref="C103:D103"/>
    <mergeCell ref="C104:D104"/>
    <mergeCell ref="C108:D108"/>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4:H154"/>
    <mergeCell ref="A115:B115"/>
    <mergeCell ref="A122:B122"/>
    <mergeCell ref="F122:G122"/>
    <mergeCell ref="A125:B125"/>
    <mergeCell ref="F118:I118"/>
    <mergeCell ref="C119:E119"/>
    <mergeCell ref="F120:G120"/>
    <mergeCell ref="A121:B121"/>
    <mergeCell ref="F121:G121"/>
    <mergeCell ref="A109:I109"/>
    <mergeCell ref="F111:I111"/>
    <mergeCell ref="A114:B114"/>
    <mergeCell ref="A148:H148"/>
    <mergeCell ref="A149:H149"/>
    <mergeCell ref="A150:H150"/>
    <mergeCell ref="A151:H151"/>
    <mergeCell ref="A152:H152"/>
    <mergeCell ref="A153:H153"/>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23"/>
  <sheetViews>
    <sheetView topLeftCell="D84" workbookViewId="0">
      <selection activeCell="H42" sqref="H42"/>
    </sheetView>
  </sheetViews>
  <sheetFormatPr defaultColWidth="9.140625" defaultRowHeight="15" x14ac:dyDescent="0.25"/>
  <cols>
    <col min="1" max="1" width="9.140625" style="559"/>
    <col min="2" max="2" width="9.140625" style="560"/>
    <col min="3" max="3" width="43.42578125" style="559" bestFit="1" customWidth="1"/>
    <col min="4" max="4" width="16.28515625" style="561" bestFit="1" customWidth="1"/>
    <col min="5" max="5" width="15.140625" style="561" bestFit="1" customWidth="1"/>
    <col min="6" max="7" width="15.140625" style="559" bestFit="1" customWidth="1"/>
    <col min="8" max="8" width="15" style="559" bestFit="1" customWidth="1"/>
    <col min="9" max="9" width="14.28515625" style="559" bestFit="1" customWidth="1"/>
    <col min="10" max="10" width="16.85546875" style="559" bestFit="1" customWidth="1"/>
    <col min="11" max="11" width="14.140625" style="572" customWidth="1"/>
    <col min="12" max="15" width="14" style="559" bestFit="1" customWidth="1"/>
    <col min="16" max="16" width="14" style="593" bestFit="1" customWidth="1"/>
    <col min="17" max="18" width="15.28515625" style="559" bestFit="1" customWidth="1"/>
    <col min="19" max="16384" width="9.140625" style="559"/>
  </cols>
  <sheetData>
    <row r="1" spans="1:18" x14ac:dyDescent="0.25">
      <c r="A1" s="577" t="s">
        <v>554</v>
      </c>
    </row>
    <row r="2" spans="1:18" x14ac:dyDescent="0.25">
      <c r="C2" s="594"/>
      <c r="D2" s="615"/>
      <c r="E2" s="615"/>
      <c r="F2" s="594"/>
      <c r="G2" s="594"/>
    </row>
    <row r="4" spans="1:18" s="567" customFormat="1" ht="45" x14ac:dyDescent="0.25">
      <c r="A4" s="567" t="s">
        <v>328</v>
      </c>
      <c r="B4" s="568" t="s">
        <v>328</v>
      </c>
      <c r="C4" s="567" t="s">
        <v>328</v>
      </c>
      <c r="D4" s="578" t="s">
        <v>294</v>
      </c>
      <c r="E4" s="578" t="s">
        <v>537</v>
      </c>
      <c r="F4" s="568" t="s">
        <v>538</v>
      </c>
      <c r="G4" s="568" t="s">
        <v>539</v>
      </c>
      <c r="H4" s="568" t="s">
        <v>540</v>
      </c>
      <c r="I4" s="568" t="s">
        <v>541</v>
      </c>
      <c r="J4" s="568" t="s">
        <v>542</v>
      </c>
      <c r="K4" s="579" t="s">
        <v>543</v>
      </c>
      <c r="L4" s="568" t="s">
        <v>544</v>
      </c>
      <c r="M4" s="568" t="s">
        <v>545</v>
      </c>
      <c r="N4" s="568" t="s">
        <v>546</v>
      </c>
      <c r="O4" s="568" t="s">
        <v>547</v>
      </c>
      <c r="P4" s="746" t="s">
        <v>548</v>
      </c>
      <c r="Q4" s="568" t="s">
        <v>8</v>
      </c>
      <c r="R4" s="569" t="s">
        <v>550</v>
      </c>
    </row>
    <row r="5" spans="1:18" s="567" customFormat="1" x14ac:dyDescent="0.25">
      <c r="A5" s="691">
        <v>1</v>
      </c>
      <c r="B5" s="692" t="s">
        <v>584</v>
      </c>
      <c r="C5" s="691" t="s">
        <v>587</v>
      </c>
      <c r="D5" s="712">
        <v>293417.72999999992</v>
      </c>
      <c r="E5" s="712">
        <v>24451.48</v>
      </c>
      <c r="F5" s="568"/>
      <c r="G5" s="568"/>
      <c r="H5" s="711"/>
      <c r="I5" s="714"/>
      <c r="J5" s="719"/>
      <c r="K5" s="725"/>
      <c r="L5" s="725"/>
      <c r="M5" s="725"/>
      <c r="N5" s="735"/>
      <c r="O5" s="736"/>
      <c r="P5" s="745"/>
      <c r="Q5" s="562">
        <f>SUM(E5:P5)</f>
        <v>24451.48</v>
      </c>
      <c r="R5" s="573">
        <v>0</v>
      </c>
    </row>
    <row r="6" spans="1:18" s="567" customFormat="1" x14ac:dyDescent="0.25">
      <c r="A6" s="691">
        <v>2</v>
      </c>
      <c r="B6" s="692" t="s">
        <v>585</v>
      </c>
      <c r="C6" s="691" t="s">
        <v>588</v>
      </c>
      <c r="D6" s="712">
        <v>267516.68999999994</v>
      </c>
      <c r="E6" s="712">
        <v>22293.06</v>
      </c>
      <c r="F6" s="568"/>
      <c r="G6" s="568"/>
      <c r="H6" s="711"/>
      <c r="I6" s="714"/>
      <c r="J6" s="719"/>
      <c r="K6" s="725"/>
      <c r="L6" s="725"/>
      <c r="M6" s="725"/>
      <c r="N6" s="735"/>
      <c r="O6" s="736"/>
      <c r="P6" s="745"/>
      <c r="Q6" s="562">
        <f t="shared" ref="Q6:Q53" si="0">SUM(E6:P6)</f>
        <v>22293.06</v>
      </c>
      <c r="R6" s="573">
        <v>0</v>
      </c>
    </row>
    <row r="7" spans="1:18" x14ac:dyDescent="0.25">
      <c r="A7" s="691">
        <v>3</v>
      </c>
      <c r="B7" s="560" t="s">
        <v>158</v>
      </c>
      <c r="C7" s="559" t="s">
        <v>190</v>
      </c>
      <c r="D7" s="561">
        <v>5824780.0900000008</v>
      </c>
      <c r="E7" s="563">
        <v>485398.34</v>
      </c>
      <c r="F7" s="595"/>
      <c r="G7" s="595"/>
      <c r="H7" s="710"/>
      <c r="I7" s="595"/>
      <c r="J7" s="718"/>
      <c r="K7" s="596"/>
      <c r="L7" s="596"/>
      <c r="M7" s="597"/>
      <c r="N7" s="562"/>
      <c r="O7" s="737"/>
      <c r="Q7" s="562">
        <f t="shared" si="0"/>
        <v>485398.34</v>
      </c>
      <c r="R7" s="573">
        <v>0</v>
      </c>
    </row>
    <row r="8" spans="1:18" x14ac:dyDescent="0.25">
      <c r="A8" s="691">
        <v>4</v>
      </c>
      <c r="B8" s="560" t="s">
        <v>159</v>
      </c>
      <c r="C8" s="559" t="s">
        <v>192</v>
      </c>
      <c r="D8" s="561">
        <v>9541978.2999999989</v>
      </c>
      <c r="E8" s="748">
        <v>795164.86</v>
      </c>
      <c r="F8" s="595"/>
      <c r="G8" s="595"/>
      <c r="H8" s="710"/>
      <c r="I8" s="595"/>
      <c r="J8" s="718"/>
      <c r="K8" s="596"/>
      <c r="L8" s="596"/>
      <c r="M8" s="597"/>
      <c r="N8" s="562"/>
      <c r="O8" s="593"/>
      <c r="Q8" s="562">
        <f t="shared" si="0"/>
        <v>795164.86</v>
      </c>
      <c r="R8" s="573">
        <v>0</v>
      </c>
    </row>
    <row r="9" spans="1:18" x14ac:dyDescent="0.25">
      <c r="A9" s="691">
        <v>5</v>
      </c>
      <c r="B9" s="560" t="s">
        <v>160</v>
      </c>
      <c r="C9" s="559" t="s">
        <v>193</v>
      </c>
      <c r="D9" s="561">
        <v>1346406.43</v>
      </c>
      <c r="E9" s="748">
        <v>112200.54</v>
      </c>
      <c r="F9" s="595"/>
      <c r="G9" s="595"/>
      <c r="H9" s="710"/>
      <c r="I9" s="595"/>
      <c r="J9" s="718"/>
      <c r="K9" s="596"/>
      <c r="L9" s="596"/>
      <c r="M9" s="597"/>
      <c r="N9" s="562"/>
      <c r="O9" s="593"/>
      <c r="Q9" s="562">
        <f t="shared" si="0"/>
        <v>112200.54</v>
      </c>
      <c r="R9" s="573">
        <v>0</v>
      </c>
    </row>
    <row r="10" spans="1:18" x14ac:dyDescent="0.25">
      <c r="A10" s="691">
        <v>6</v>
      </c>
      <c r="B10" s="612" t="s">
        <v>161</v>
      </c>
      <c r="C10" s="611" t="s">
        <v>595</v>
      </c>
      <c r="D10" s="613">
        <v>1541584.5799999998</v>
      </c>
      <c r="E10" s="748">
        <v>128465.38</v>
      </c>
      <c r="F10" s="614"/>
      <c r="G10" s="617"/>
      <c r="H10" s="710"/>
      <c r="I10" s="595"/>
      <c r="J10" s="718"/>
      <c r="K10" s="596"/>
      <c r="L10" s="596"/>
      <c r="M10" s="597"/>
      <c r="N10" s="562"/>
      <c r="O10" s="593"/>
      <c r="Q10" s="562">
        <f t="shared" si="0"/>
        <v>128465.38</v>
      </c>
      <c r="R10" s="573">
        <v>0</v>
      </c>
    </row>
    <row r="11" spans="1:18" x14ac:dyDescent="0.25">
      <c r="A11" s="691">
        <v>7</v>
      </c>
      <c r="B11" s="560" t="s">
        <v>162</v>
      </c>
      <c r="C11" s="559" t="s">
        <v>295</v>
      </c>
      <c r="D11" s="561">
        <v>5282986.3699999992</v>
      </c>
      <c r="E11" s="748">
        <v>440248.86</v>
      </c>
      <c r="F11" s="595"/>
      <c r="G11" s="595"/>
      <c r="H11" s="710"/>
      <c r="I11" s="595"/>
      <c r="J11" s="718"/>
      <c r="K11" s="596"/>
      <c r="L11" s="596"/>
      <c r="M11" s="597"/>
      <c r="N11" s="562"/>
      <c r="O11" s="593"/>
      <c r="Q11" s="562">
        <f t="shared" si="0"/>
        <v>440248.86</v>
      </c>
      <c r="R11" s="573">
        <v>0</v>
      </c>
    </row>
    <row r="12" spans="1:18" x14ac:dyDescent="0.25">
      <c r="A12" s="691">
        <v>8</v>
      </c>
      <c r="B12" s="560" t="s">
        <v>163</v>
      </c>
      <c r="C12" s="559" t="s">
        <v>415</v>
      </c>
      <c r="D12" s="561">
        <v>5205334.7499999991</v>
      </c>
      <c r="E12" s="748">
        <v>433777.9</v>
      </c>
      <c r="F12" s="595"/>
      <c r="G12" s="595"/>
      <c r="H12" s="710"/>
      <c r="I12" s="595"/>
      <c r="J12" s="718"/>
      <c r="K12" s="596"/>
      <c r="L12" s="596"/>
      <c r="M12" s="597"/>
      <c r="N12" s="562"/>
      <c r="O12" s="593"/>
      <c r="Q12" s="562">
        <f t="shared" si="0"/>
        <v>433777.9</v>
      </c>
      <c r="R12" s="573">
        <v>0</v>
      </c>
    </row>
    <row r="13" spans="1:18" x14ac:dyDescent="0.25">
      <c r="A13" s="691">
        <v>9</v>
      </c>
      <c r="B13" s="560" t="s">
        <v>164</v>
      </c>
      <c r="C13" s="559" t="s">
        <v>196</v>
      </c>
      <c r="D13" s="561">
        <v>6063191.1300000018</v>
      </c>
      <c r="E13" s="748">
        <v>505265.93</v>
      </c>
      <c r="F13" s="595"/>
      <c r="G13" s="595"/>
      <c r="H13" s="710"/>
      <c r="I13" s="595"/>
      <c r="J13" s="718"/>
      <c r="K13" s="596"/>
      <c r="L13" s="596"/>
      <c r="M13" s="597"/>
      <c r="N13" s="562"/>
      <c r="O13" s="593"/>
      <c r="Q13" s="562">
        <f t="shared" si="0"/>
        <v>505265.93</v>
      </c>
      <c r="R13" s="573">
        <v>0</v>
      </c>
    </row>
    <row r="14" spans="1:18" x14ac:dyDescent="0.25">
      <c r="A14" s="691">
        <v>10</v>
      </c>
      <c r="B14" s="560" t="s">
        <v>165</v>
      </c>
      <c r="C14" s="559" t="s">
        <v>197</v>
      </c>
      <c r="D14" s="561">
        <v>10306382.979999997</v>
      </c>
      <c r="E14" s="748">
        <v>858865.25</v>
      </c>
      <c r="F14" s="595"/>
      <c r="G14" s="595"/>
      <c r="H14" s="710"/>
      <c r="I14" s="595"/>
      <c r="J14" s="718"/>
      <c r="K14" s="596"/>
      <c r="L14" s="596"/>
      <c r="M14" s="597"/>
      <c r="N14" s="562"/>
      <c r="O14" s="593"/>
      <c r="Q14" s="562">
        <f t="shared" si="0"/>
        <v>858865.25</v>
      </c>
      <c r="R14" s="573">
        <v>0</v>
      </c>
    </row>
    <row r="15" spans="1:18" x14ac:dyDescent="0.25">
      <c r="A15" s="691">
        <v>11</v>
      </c>
      <c r="B15" s="560" t="s">
        <v>166</v>
      </c>
      <c r="C15" s="559" t="s">
        <v>427</v>
      </c>
      <c r="D15" s="561">
        <v>5818319.9199999981</v>
      </c>
      <c r="E15" s="748">
        <v>484859.99</v>
      </c>
      <c r="F15" s="595"/>
      <c r="G15" s="595"/>
      <c r="H15" s="710"/>
      <c r="I15" s="595"/>
      <c r="J15" s="718"/>
      <c r="K15" s="596"/>
      <c r="L15" s="596"/>
      <c r="M15" s="597"/>
      <c r="N15" s="562"/>
      <c r="O15" s="593"/>
      <c r="Q15" s="562">
        <f t="shared" si="0"/>
        <v>484859.99</v>
      </c>
      <c r="R15" s="573">
        <v>0</v>
      </c>
    </row>
    <row r="16" spans="1:18" x14ac:dyDescent="0.25">
      <c r="A16" s="691">
        <v>12</v>
      </c>
      <c r="B16" s="560" t="s">
        <v>167</v>
      </c>
      <c r="C16" s="559" t="s">
        <v>426</v>
      </c>
      <c r="D16" s="561">
        <v>1085038.2700000003</v>
      </c>
      <c r="E16" s="748">
        <v>90419.86</v>
      </c>
      <c r="F16" s="595"/>
      <c r="G16" s="595"/>
      <c r="H16" s="710"/>
      <c r="I16" s="595"/>
      <c r="J16" s="718"/>
      <c r="K16" s="596"/>
      <c r="L16" s="596"/>
      <c r="M16" s="597"/>
      <c r="N16" s="562"/>
      <c r="O16" s="593"/>
      <c r="Q16" s="562">
        <f t="shared" si="0"/>
        <v>90419.86</v>
      </c>
      <c r="R16" s="573">
        <v>0</v>
      </c>
    </row>
    <row r="17" spans="1:18" x14ac:dyDescent="0.25">
      <c r="A17" s="691">
        <v>13</v>
      </c>
      <c r="B17" s="560" t="s">
        <v>168</v>
      </c>
      <c r="C17" s="559" t="s">
        <v>200</v>
      </c>
      <c r="D17" s="561">
        <v>9010728.0299999975</v>
      </c>
      <c r="E17" s="748">
        <v>750894</v>
      </c>
      <c r="F17" s="595"/>
      <c r="G17" s="595"/>
      <c r="H17" s="710"/>
      <c r="I17" s="595"/>
      <c r="J17" s="718"/>
      <c r="K17" s="596"/>
      <c r="L17" s="596"/>
      <c r="M17" s="597"/>
      <c r="N17" s="562"/>
      <c r="O17" s="593"/>
      <c r="Q17" s="562">
        <f t="shared" si="0"/>
        <v>750894</v>
      </c>
      <c r="R17" s="573">
        <v>0</v>
      </c>
    </row>
    <row r="18" spans="1:18" x14ac:dyDescent="0.25">
      <c r="A18" s="691">
        <v>14</v>
      </c>
      <c r="B18" s="560" t="s">
        <v>169</v>
      </c>
      <c r="C18" s="559" t="s">
        <v>202</v>
      </c>
      <c r="D18" s="561">
        <v>2393764.38</v>
      </c>
      <c r="E18" s="748">
        <v>199480.37</v>
      </c>
      <c r="F18" s="595"/>
      <c r="G18" s="595"/>
      <c r="H18" s="710"/>
      <c r="I18" s="595"/>
      <c r="J18" s="718"/>
      <c r="K18" s="596"/>
      <c r="L18" s="596"/>
      <c r="M18" s="597"/>
      <c r="N18" s="562"/>
      <c r="O18" s="593"/>
      <c r="Q18" s="562">
        <f t="shared" si="0"/>
        <v>199480.37</v>
      </c>
      <c r="R18" s="573">
        <v>0</v>
      </c>
    </row>
    <row r="19" spans="1:18" x14ac:dyDescent="0.25">
      <c r="A19" s="691">
        <v>15</v>
      </c>
      <c r="B19" s="612" t="s">
        <v>170</v>
      </c>
      <c r="C19" s="611" t="s">
        <v>204</v>
      </c>
      <c r="D19" s="613">
        <f>E19+F19</f>
        <v>0</v>
      </c>
      <c r="E19" s="748"/>
      <c r="F19" s="614"/>
      <c r="G19" s="617"/>
      <c r="H19" s="710"/>
      <c r="I19" s="595"/>
      <c r="J19" s="718"/>
      <c r="K19" s="596"/>
      <c r="L19" s="596"/>
      <c r="M19" s="597"/>
      <c r="N19" s="562"/>
      <c r="O19" s="593"/>
      <c r="Q19" s="562">
        <f t="shared" si="0"/>
        <v>0</v>
      </c>
      <c r="R19" s="573">
        <v>0</v>
      </c>
    </row>
    <row r="20" spans="1:18" x14ac:dyDescent="0.25">
      <c r="A20" s="691">
        <v>16</v>
      </c>
      <c r="B20" s="560" t="s">
        <v>171</v>
      </c>
      <c r="C20" s="559" t="s">
        <v>205</v>
      </c>
      <c r="D20" s="561">
        <v>1639762.0899999999</v>
      </c>
      <c r="E20" s="748">
        <v>136646.84</v>
      </c>
      <c r="F20" s="595"/>
      <c r="G20" s="595"/>
      <c r="H20" s="710"/>
      <c r="I20" s="595"/>
      <c r="J20" s="718"/>
      <c r="K20" s="596"/>
      <c r="L20" s="596"/>
      <c r="M20" s="597"/>
      <c r="N20" s="562"/>
      <c r="O20" s="593"/>
      <c r="Q20" s="562">
        <f t="shared" si="0"/>
        <v>136646.84</v>
      </c>
      <c r="R20" s="573">
        <v>0</v>
      </c>
    </row>
    <row r="21" spans="1:18" x14ac:dyDescent="0.25">
      <c r="A21" s="691">
        <v>17</v>
      </c>
      <c r="B21" s="560" t="s">
        <v>172</v>
      </c>
      <c r="C21" s="559" t="s">
        <v>296</v>
      </c>
      <c r="D21" s="561">
        <v>4367554.4399999995</v>
      </c>
      <c r="E21" s="748">
        <v>363962.87</v>
      </c>
      <c r="F21" s="595"/>
      <c r="G21" s="595"/>
      <c r="H21" s="710"/>
      <c r="I21" s="595"/>
      <c r="J21" s="718"/>
      <c r="K21" s="596"/>
      <c r="L21" s="596"/>
      <c r="M21" s="597"/>
      <c r="N21" s="562"/>
      <c r="O21" s="593"/>
      <c r="Q21" s="562">
        <f t="shared" si="0"/>
        <v>363962.87</v>
      </c>
      <c r="R21" s="573">
        <v>0</v>
      </c>
    </row>
    <row r="22" spans="1:18" x14ac:dyDescent="0.25">
      <c r="A22" s="691">
        <v>18</v>
      </c>
      <c r="B22" s="560" t="s">
        <v>173</v>
      </c>
      <c r="C22" s="559" t="s">
        <v>227</v>
      </c>
      <c r="D22" s="561">
        <v>5776245.8299999991</v>
      </c>
      <c r="E22" s="748">
        <v>481353.82</v>
      </c>
      <c r="F22" s="595"/>
      <c r="G22" s="595"/>
      <c r="H22" s="710"/>
      <c r="I22" s="595"/>
      <c r="J22" s="718"/>
      <c r="K22" s="596"/>
      <c r="L22" s="596"/>
      <c r="M22" s="597"/>
      <c r="N22" s="562"/>
      <c r="O22" s="593"/>
      <c r="Q22" s="562">
        <f t="shared" si="0"/>
        <v>481353.82</v>
      </c>
      <c r="R22" s="573">
        <v>0</v>
      </c>
    </row>
    <row r="23" spans="1:18" x14ac:dyDescent="0.25">
      <c r="A23" s="691">
        <v>19</v>
      </c>
      <c r="B23" s="560" t="s">
        <v>174</v>
      </c>
      <c r="C23" s="559" t="s">
        <v>195</v>
      </c>
      <c r="D23" s="561">
        <v>904441.77000000014</v>
      </c>
      <c r="E23" s="748">
        <v>75370.149999999994</v>
      </c>
      <c r="F23" s="595"/>
      <c r="G23" s="595"/>
      <c r="H23" s="710"/>
      <c r="I23" s="595"/>
      <c r="J23" s="718"/>
      <c r="K23" s="596"/>
      <c r="L23" s="596"/>
      <c r="M23" s="597"/>
      <c r="N23" s="562"/>
      <c r="O23" s="593"/>
      <c r="Q23" s="562">
        <f t="shared" si="0"/>
        <v>75370.149999999994</v>
      </c>
      <c r="R23" s="573">
        <v>0</v>
      </c>
    </row>
    <row r="24" spans="1:18" x14ac:dyDescent="0.25">
      <c r="A24" s="691">
        <v>20</v>
      </c>
      <c r="B24" s="560" t="s">
        <v>175</v>
      </c>
      <c r="C24" s="559" t="s">
        <v>189</v>
      </c>
      <c r="D24" s="561">
        <v>1122489.1599999999</v>
      </c>
      <c r="E24" s="748">
        <v>93540.76</v>
      </c>
      <c r="F24" s="595"/>
      <c r="G24" s="595"/>
      <c r="H24" s="710"/>
      <c r="I24" s="595"/>
      <c r="J24" s="718"/>
      <c r="K24" s="596"/>
      <c r="L24" s="596"/>
      <c r="M24" s="597"/>
      <c r="N24" s="562"/>
      <c r="O24" s="593"/>
      <c r="Q24" s="562">
        <f t="shared" si="0"/>
        <v>93540.76</v>
      </c>
      <c r="R24" s="573">
        <v>0</v>
      </c>
    </row>
    <row r="25" spans="1:18" x14ac:dyDescent="0.25">
      <c r="A25" s="691">
        <v>21</v>
      </c>
      <c r="B25" s="560" t="s">
        <v>176</v>
      </c>
      <c r="C25" s="559" t="s">
        <v>206</v>
      </c>
      <c r="D25" s="561">
        <v>3496818.6399999997</v>
      </c>
      <c r="E25" s="748">
        <v>291401.55</v>
      </c>
      <c r="F25" s="595"/>
      <c r="G25" s="595"/>
      <c r="H25" s="710"/>
      <c r="I25" s="595"/>
      <c r="J25" s="718"/>
      <c r="K25" s="596"/>
      <c r="L25" s="596"/>
      <c r="M25" s="597"/>
      <c r="N25" s="562"/>
      <c r="O25" s="593"/>
      <c r="Q25" s="562">
        <f t="shared" si="0"/>
        <v>291401.55</v>
      </c>
      <c r="R25" s="573">
        <v>0</v>
      </c>
    </row>
    <row r="26" spans="1:18" x14ac:dyDescent="0.25">
      <c r="A26" s="691">
        <v>22</v>
      </c>
      <c r="B26" s="560" t="s">
        <v>177</v>
      </c>
      <c r="C26" s="559" t="s">
        <v>207</v>
      </c>
      <c r="D26" s="561">
        <v>3393187.6799999997</v>
      </c>
      <c r="E26" s="748">
        <v>282765.64</v>
      </c>
      <c r="F26" s="595"/>
      <c r="G26" s="595"/>
      <c r="H26" s="710"/>
      <c r="I26" s="595"/>
      <c r="J26" s="718"/>
      <c r="K26" s="596"/>
      <c r="L26" s="596"/>
      <c r="M26" s="597"/>
      <c r="N26" s="562"/>
      <c r="O26" s="593"/>
      <c r="Q26" s="562">
        <f t="shared" si="0"/>
        <v>282765.64</v>
      </c>
      <c r="R26" s="573">
        <v>0</v>
      </c>
    </row>
    <row r="27" spans="1:18" x14ac:dyDescent="0.25">
      <c r="A27" s="691">
        <v>23</v>
      </c>
      <c r="B27" s="560" t="s">
        <v>178</v>
      </c>
      <c r="C27" s="559" t="s">
        <v>208</v>
      </c>
      <c r="D27" s="561">
        <v>3824239.7499999995</v>
      </c>
      <c r="E27" s="748">
        <v>318686.65000000002</v>
      </c>
      <c r="F27" s="595"/>
      <c r="G27" s="595"/>
      <c r="H27" s="710"/>
      <c r="I27" s="595"/>
      <c r="J27" s="718"/>
      <c r="K27" s="596"/>
      <c r="L27" s="596"/>
      <c r="M27" s="597"/>
      <c r="N27" s="562"/>
      <c r="O27" s="593"/>
      <c r="Q27" s="562">
        <f t="shared" si="0"/>
        <v>318686.65000000002</v>
      </c>
      <c r="R27" s="573">
        <v>0</v>
      </c>
    </row>
    <row r="28" spans="1:18" x14ac:dyDescent="0.25">
      <c r="A28" s="691">
        <v>24</v>
      </c>
      <c r="B28" s="560" t="s">
        <v>179</v>
      </c>
      <c r="C28" s="559" t="s">
        <v>210</v>
      </c>
      <c r="D28" s="561">
        <v>8727493.5100000016</v>
      </c>
      <c r="E28" s="748">
        <v>727291.13</v>
      </c>
      <c r="F28" s="595"/>
      <c r="G28" s="595"/>
      <c r="H28" s="710"/>
      <c r="I28" s="595"/>
      <c r="J28" s="718"/>
      <c r="K28" s="596"/>
      <c r="L28" s="596"/>
      <c r="M28" s="597"/>
      <c r="N28" s="562"/>
      <c r="O28" s="593"/>
      <c r="Q28" s="562">
        <f t="shared" si="0"/>
        <v>727291.13</v>
      </c>
      <c r="R28" s="573">
        <v>0</v>
      </c>
    </row>
    <row r="29" spans="1:18" x14ac:dyDescent="0.25">
      <c r="A29" s="691">
        <v>25</v>
      </c>
      <c r="B29" s="560">
        <v>3441</v>
      </c>
      <c r="C29" s="559" t="s">
        <v>228</v>
      </c>
      <c r="D29" s="561">
        <v>4380621.2299999995</v>
      </c>
      <c r="E29" s="748">
        <v>365051.77</v>
      </c>
      <c r="F29" s="595"/>
      <c r="G29" s="595"/>
      <c r="H29" s="710"/>
      <c r="I29" s="595"/>
      <c r="J29" s="718"/>
      <c r="K29" s="596"/>
      <c r="L29" s="596"/>
      <c r="M29" s="597"/>
      <c r="N29" s="562"/>
      <c r="O29" s="593"/>
      <c r="Q29" s="562">
        <f t="shared" si="0"/>
        <v>365051.77</v>
      </c>
      <c r="R29" s="573">
        <v>0</v>
      </c>
    </row>
    <row r="30" spans="1:18" x14ac:dyDescent="0.25">
      <c r="A30" s="691">
        <v>26</v>
      </c>
      <c r="B30" s="560">
        <v>3924</v>
      </c>
      <c r="C30" s="559" t="s">
        <v>414</v>
      </c>
      <c r="D30" s="561">
        <v>3637468.4</v>
      </c>
      <c r="E30" s="748">
        <v>303122.37</v>
      </c>
      <c r="F30" s="595"/>
      <c r="G30" s="595"/>
      <c r="H30" s="710"/>
      <c r="I30" s="595"/>
      <c r="J30" s="718"/>
      <c r="K30" s="596"/>
      <c r="L30" s="596"/>
      <c r="M30" s="597"/>
      <c r="N30" s="562"/>
      <c r="O30" s="593"/>
      <c r="Q30" s="562">
        <f t="shared" si="0"/>
        <v>303122.37</v>
      </c>
      <c r="R30" s="573">
        <v>0</v>
      </c>
    </row>
    <row r="31" spans="1:18" x14ac:dyDescent="0.25">
      <c r="A31" s="691">
        <v>27</v>
      </c>
      <c r="B31" s="560" t="s">
        <v>180</v>
      </c>
      <c r="C31" s="559" t="s">
        <v>191</v>
      </c>
      <c r="D31" s="561">
        <v>1998044.3599999999</v>
      </c>
      <c r="E31" s="748">
        <v>166503.70000000001</v>
      </c>
      <c r="F31" s="595"/>
      <c r="G31" s="595"/>
      <c r="H31" s="710"/>
      <c r="I31" s="595"/>
      <c r="J31" s="718"/>
      <c r="K31" s="596"/>
      <c r="L31" s="596"/>
      <c r="M31" s="597"/>
      <c r="N31" s="562"/>
      <c r="O31" s="593"/>
      <c r="Q31" s="562">
        <f t="shared" si="0"/>
        <v>166503.70000000001</v>
      </c>
      <c r="R31" s="573">
        <v>0</v>
      </c>
    </row>
    <row r="32" spans="1:18" x14ac:dyDescent="0.25">
      <c r="A32" s="691">
        <v>28</v>
      </c>
      <c r="B32" s="606" t="s">
        <v>181</v>
      </c>
      <c r="C32" s="602" t="s">
        <v>201</v>
      </c>
      <c r="D32" s="601"/>
      <c r="E32" s="749"/>
      <c r="F32" s="601"/>
      <c r="G32" s="601"/>
      <c r="H32" s="716"/>
      <c r="I32" s="601"/>
      <c r="J32" s="718"/>
      <c r="K32" s="596"/>
      <c r="L32" s="596"/>
      <c r="M32" s="597"/>
      <c r="N32" s="562"/>
      <c r="O32" s="593"/>
      <c r="Q32" s="562">
        <f t="shared" si="0"/>
        <v>0</v>
      </c>
      <c r="R32" s="573">
        <v>0</v>
      </c>
    </row>
    <row r="33" spans="1:18" x14ac:dyDescent="0.25">
      <c r="A33" s="691">
        <v>29</v>
      </c>
      <c r="B33" s="560" t="s">
        <v>182</v>
      </c>
      <c r="C33" s="559" t="s">
        <v>354</v>
      </c>
      <c r="D33" s="561">
        <v>5018411.1500000004</v>
      </c>
      <c r="E33" s="748">
        <v>418200.93</v>
      </c>
      <c r="F33" s="595"/>
      <c r="G33" s="595"/>
      <c r="H33" s="710"/>
      <c r="I33" s="595"/>
      <c r="J33" s="718"/>
      <c r="K33" s="596"/>
      <c r="L33" s="596"/>
      <c r="M33" s="597"/>
      <c r="N33" s="562"/>
      <c r="O33" s="593"/>
      <c r="Q33" s="562">
        <f t="shared" si="0"/>
        <v>418200.93</v>
      </c>
      <c r="R33" s="573">
        <v>0</v>
      </c>
    </row>
    <row r="34" spans="1:18" x14ac:dyDescent="0.25">
      <c r="A34" s="691">
        <v>30</v>
      </c>
      <c r="B34" s="560" t="s">
        <v>183</v>
      </c>
      <c r="C34" s="559" t="s">
        <v>219</v>
      </c>
      <c r="D34" s="561">
        <v>5832489.6499999994</v>
      </c>
      <c r="E34" s="748">
        <v>486040.8</v>
      </c>
      <c r="F34" s="595"/>
      <c r="G34" s="595"/>
      <c r="H34" s="710"/>
      <c r="I34" s="595"/>
      <c r="J34" s="718"/>
      <c r="K34" s="596"/>
      <c r="L34" s="596"/>
      <c r="M34" s="597"/>
      <c r="N34" s="562"/>
      <c r="O34" s="593"/>
      <c r="Q34" s="562">
        <f t="shared" si="0"/>
        <v>486040.8</v>
      </c>
      <c r="R34" s="573">
        <v>0</v>
      </c>
    </row>
    <row r="35" spans="1:18" x14ac:dyDescent="0.25">
      <c r="A35" s="691">
        <v>31</v>
      </c>
      <c r="B35" s="560">
        <v>4002</v>
      </c>
      <c r="C35" s="559" t="s">
        <v>218</v>
      </c>
      <c r="D35" s="561">
        <v>8487922.6500000004</v>
      </c>
      <c r="E35" s="748">
        <v>707326.89</v>
      </c>
      <c r="F35" s="595"/>
      <c r="G35" s="595"/>
      <c r="H35" s="710"/>
      <c r="I35" s="595"/>
      <c r="J35" s="718"/>
      <c r="K35" s="596"/>
      <c r="L35" s="596"/>
      <c r="M35" s="597"/>
      <c r="N35" s="562"/>
      <c r="O35" s="593"/>
      <c r="Q35" s="562">
        <f t="shared" si="0"/>
        <v>707326.89</v>
      </c>
      <c r="R35" s="573">
        <v>0</v>
      </c>
    </row>
    <row r="36" spans="1:18" x14ac:dyDescent="0.25">
      <c r="A36" s="691">
        <v>32</v>
      </c>
      <c r="B36" s="560">
        <v>4012</v>
      </c>
      <c r="C36" s="559" t="s">
        <v>221</v>
      </c>
      <c r="D36" s="561">
        <v>4815733.459999999</v>
      </c>
      <c r="E36" s="748">
        <v>401311.12</v>
      </c>
      <c r="F36" s="595"/>
      <c r="G36" s="595"/>
      <c r="H36" s="710"/>
      <c r="I36" s="595"/>
      <c r="J36" s="718"/>
      <c r="K36" s="596"/>
      <c r="L36" s="596"/>
      <c r="M36" s="597"/>
      <c r="N36" s="562"/>
      <c r="O36" s="593"/>
      <c r="Q36" s="562">
        <f t="shared" si="0"/>
        <v>401311.12</v>
      </c>
      <c r="R36" s="573">
        <v>0</v>
      </c>
    </row>
    <row r="37" spans="1:18" x14ac:dyDescent="0.25">
      <c r="A37" s="691">
        <v>33</v>
      </c>
      <c r="B37" s="560">
        <v>4013</v>
      </c>
      <c r="C37" s="559" t="s">
        <v>223</v>
      </c>
      <c r="D37" s="561">
        <v>8011786.9699999997</v>
      </c>
      <c r="E37" s="748">
        <v>667648.91</v>
      </c>
      <c r="F37" s="595"/>
      <c r="G37" s="595"/>
      <c r="H37" s="710"/>
      <c r="I37" s="595"/>
      <c r="J37" s="718"/>
      <c r="K37" s="596"/>
      <c r="L37" s="596"/>
      <c r="M37" s="597"/>
      <c r="N37" s="562"/>
      <c r="O37" s="593"/>
      <c r="Q37" s="562">
        <f t="shared" si="0"/>
        <v>667648.91</v>
      </c>
      <c r="R37" s="573">
        <v>0</v>
      </c>
    </row>
    <row r="38" spans="1:18" x14ac:dyDescent="0.25">
      <c r="A38" s="691">
        <v>34</v>
      </c>
      <c r="B38" s="560">
        <v>4020</v>
      </c>
      <c r="C38" s="559" t="s">
        <v>364</v>
      </c>
      <c r="D38" s="561">
        <v>10713626.220000001</v>
      </c>
      <c r="E38" s="748">
        <v>892802.19</v>
      </c>
      <c r="F38" s="595"/>
      <c r="G38" s="595"/>
      <c r="H38" s="710"/>
      <c r="I38" s="595"/>
      <c r="J38" s="718"/>
      <c r="K38" s="596"/>
      <c r="L38" s="596"/>
      <c r="M38" s="597"/>
      <c r="N38" s="562"/>
      <c r="O38" s="593"/>
      <c r="Q38" s="562">
        <f t="shared" si="0"/>
        <v>892802.19</v>
      </c>
      <c r="R38" s="573">
        <v>0</v>
      </c>
    </row>
    <row r="39" spans="1:18" x14ac:dyDescent="0.25">
      <c r="A39" s="691">
        <v>35</v>
      </c>
      <c r="B39" s="560">
        <v>4030</v>
      </c>
      <c r="C39" s="559" t="s">
        <v>348</v>
      </c>
      <c r="D39" s="561">
        <v>2602548.2000000007</v>
      </c>
      <c r="E39" s="748">
        <v>216879.02</v>
      </c>
      <c r="F39" s="595"/>
      <c r="G39" s="595"/>
      <c r="H39" s="710"/>
      <c r="I39" s="595"/>
      <c r="J39" s="718"/>
      <c r="K39" s="596"/>
      <c r="L39" s="596"/>
      <c r="M39" s="597"/>
      <c r="N39" s="562"/>
      <c r="O39" s="593"/>
      <c r="Q39" s="562">
        <f t="shared" si="0"/>
        <v>216879.02</v>
      </c>
      <c r="R39" s="573">
        <v>0</v>
      </c>
    </row>
    <row r="40" spans="1:18" x14ac:dyDescent="0.25">
      <c r="A40" s="691">
        <v>36</v>
      </c>
      <c r="B40" s="560">
        <v>4031</v>
      </c>
      <c r="C40" s="559" t="s">
        <v>376</v>
      </c>
      <c r="D40" s="561">
        <v>3869800.08</v>
      </c>
      <c r="E40" s="748">
        <v>322483.34000000003</v>
      </c>
      <c r="F40" s="595"/>
      <c r="G40" s="595"/>
      <c r="H40" s="710"/>
      <c r="I40" s="595"/>
      <c r="J40" s="718"/>
      <c r="K40" s="596"/>
      <c r="L40" s="596"/>
      <c r="M40" s="597"/>
      <c r="N40" s="562"/>
      <c r="O40" s="593"/>
      <c r="Q40" s="562">
        <f t="shared" si="0"/>
        <v>322483.34000000003</v>
      </c>
      <c r="R40" s="573">
        <v>0</v>
      </c>
    </row>
    <row r="41" spans="1:18" x14ac:dyDescent="0.25">
      <c r="A41" s="691">
        <v>37</v>
      </c>
      <c r="B41" s="560">
        <v>4041</v>
      </c>
      <c r="C41" s="559" t="s">
        <v>225</v>
      </c>
      <c r="D41" s="561">
        <v>761865.19</v>
      </c>
      <c r="E41" s="748">
        <v>63488.77</v>
      </c>
      <c r="F41" s="595"/>
      <c r="G41" s="595"/>
      <c r="H41" s="710"/>
      <c r="I41" s="595"/>
      <c r="J41" s="718"/>
      <c r="K41" s="596"/>
      <c r="L41" s="596"/>
      <c r="M41" s="597"/>
      <c r="N41" s="562"/>
      <c r="O41" s="593"/>
      <c r="Q41" s="562">
        <f t="shared" si="0"/>
        <v>63488.77</v>
      </c>
      <c r="R41" s="573">
        <v>0</v>
      </c>
    </row>
    <row r="42" spans="1:18" x14ac:dyDescent="0.25">
      <c r="A42" s="691">
        <v>38</v>
      </c>
      <c r="B42" s="560">
        <v>4050</v>
      </c>
      <c r="C42" s="559" t="s">
        <v>216</v>
      </c>
      <c r="D42" s="561">
        <v>6147532.0699999994</v>
      </c>
      <c r="E42" s="748">
        <v>512294.34</v>
      </c>
      <c r="F42" s="595"/>
      <c r="G42" s="595"/>
      <c r="H42" s="710"/>
      <c r="I42" s="595"/>
      <c r="J42" s="718"/>
      <c r="K42" s="596"/>
      <c r="L42" s="596"/>
      <c r="M42" s="597"/>
      <c r="N42" s="562"/>
      <c r="O42" s="593"/>
      <c r="Q42" s="562">
        <f t="shared" si="0"/>
        <v>512294.34</v>
      </c>
      <c r="R42" s="573">
        <v>0</v>
      </c>
    </row>
    <row r="43" spans="1:18" x14ac:dyDescent="0.25">
      <c r="A43" s="691">
        <v>39</v>
      </c>
      <c r="B43" s="560">
        <v>4051</v>
      </c>
      <c r="C43" s="559" t="s">
        <v>214</v>
      </c>
      <c r="D43" s="561">
        <v>6494077.9100000001</v>
      </c>
      <c r="E43" s="748">
        <v>541173.16</v>
      </c>
      <c r="F43" s="595"/>
      <c r="G43" s="595"/>
      <c r="H43" s="710"/>
      <c r="I43" s="595"/>
      <c r="J43" s="718"/>
      <c r="K43" s="596"/>
      <c r="L43" s="596"/>
      <c r="M43" s="597"/>
      <c r="N43" s="562"/>
      <c r="O43" s="593"/>
      <c r="Q43" s="562">
        <f t="shared" si="0"/>
        <v>541173.16</v>
      </c>
      <c r="R43" s="573">
        <v>0</v>
      </c>
    </row>
    <row r="44" spans="1:18" x14ac:dyDescent="0.25">
      <c r="A44" s="691">
        <v>40</v>
      </c>
      <c r="B44" s="560">
        <v>4061</v>
      </c>
      <c r="C44" s="559" t="s">
        <v>366</v>
      </c>
      <c r="D44" s="561">
        <v>8236104.0300000012</v>
      </c>
      <c r="E44" s="748">
        <v>686342</v>
      </c>
      <c r="F44" s="595"/>
      <c r="G44" s="595"/>
      <c r="H44" s="710"/>
      <c r="I44" s="595"/>
      <c r="J44" s="718"/>
      <c r="K44" s="596"/>
      <c r="L44" s="596"/>
      <c r="M44" s="597"/>
      <c r="N44" s="562"/>
      <c r="O44" s="593"/>
      <c r="Q44" s="562">
        <f t="shared" si="0"/>
        <v>686342</v>
      </c>
      <c r="R44" s="573">
        <v>0</v>
      </c>
    </row>
    <row r="45" spans="1:18" x14ac:dyDescent="0.25">
      <c r="A45" s="691">
        <v>41</v>
      </c>
      <c r="B45" s="560">
        <v>4080</v>
      </c>
      <c r="C45" s="559" t="s">
        <v>237</v>
      </c>
      <c r="D45" s="561">
        <v>1992718.4300000002</v>
      </c>
      <c r="E45" s="748">
        <v>166059.87</v>
      </c>
      <c r="F45" s="595"/>
      <c r="G45" s="595"/>
      <c r="H45" s="710"/>
      <c r="I45" s="595"/>
      <c r="J45" s="718"/>
      <c r="K45" s="596"/>
      <c r="L45" s="596"/>
      <c r="M45" s="597"/>
      <c r="N45" s="562"/>
      <c r="O45" s="593"/>
      <c r="Q45" s="562">
        <f t="shared" si="0"/>
        <v>166059.87</v>
      </c>
      <c r="R45" s="573">
        <v>0</v>
      </c>
    </row>
    <row r="46" spans="1:18" x14ac:dyDescent="0.25">
      <c r="A46" s="691">
        <v>42</v>
      </c>
      <c r="B46" s="560">
        <v>4081</v>
      </c>
      <c r="C46" s="559" t="s">
        <v>234</v>
      </c>
      <c r="D46" s="561">
        <v>1002670.3599999999</v>
      </c>
      <c r="E46" s="748">
        <v>83555.86</v>
      </c>
      <c r="F46" s="595"/>
      <c r="G46" s="595"/>
      <c r="H46" s="710"/>
      <c r="I46" s="595"/>
      <c r="J46" s="718"/>
      <c r="K46" s="596"/>
      <c r="L46" s="596"/>
      <c r="M46" s="597"/>
      <c r="N46" s="562"/>
      <c r="O46" s="593"/>
      <c r="Q46" s="562">
        <f t="shared" si="0"/>
        <v>83555.86</v>
      </c>
      <c r="R46" s="573">
        <v>0</v>
      </c>
    </row>
    <row r="47" spans="1:18" x14ac:dyDescent="0.25">
      <c r="A47" s="691">
        <v>43</v>
      </c>
      <c r="B47" s="560">
        <v>4090</v>
      </c>
      <c r="C47" s="559" t="s">
        <v>297</v>
      </c>
      <c r="D47" s="561">
        <v>2185141.7699999996</v>
      </c>
      <c r="E47" s="748">
        <v>182095.15</v>
      </c>
      <c r="F47" s="595"/>
      <c r="G47" s="595"/>
      <c r="H47" s="710"/>
      <c r="I47" s="595"/>
      <c r="J47" s="718"/>
      <c r="K47" s="596"/>
      <c r="L47" s="596"/>
      <c r="M47" s="597"/>
      <c r="N47" s="562"/>
      <c r="O47" s="593"/>
      <c r="Q47" s="562">
        <f>SUM(E47:P47)</f>
        <v>182095.15</v>
      </c>
      <c r="R47" s="573">
        <v>0</v>
      </c>
    </row>
    <row r="48" spans="1:18" x14ac:dyDescent="0.25">
      <c r="A48" s="691">
        <v>44</v>
      </c>
      <c r="B48" s="560">
        <v>4091</v>
      </c>
      <c r="C48" s="559" t="s">
        <v>275</v>
      </c>
      <c r="D48" s="561">
        <v>3431893.15</v>
      </c>
      <c r="E48" s="748">
        <v>285991.09999999998</v>
      </c>
      <c r="F48" s="595"/>
      <c r="G48" s="595"/>
      <c r="H48" s="710"/>
      <c r="I48" s="595"/>
      <c r="J48" s="718"/>
      <c r="K48" s="596"/>
      <c r="L48" s="596"/>
      <c r="M48" s="597"/>
      <c r="N48" s="562"/>
      <c r="O48" s="593"/>
      <c r="Q48" s="562">
        <f t="shared" si="0"/>
        <v>285991.09999999998</v>
      </c>
      <c r="R48" s="573">
        <v>0</v>
      </c>
    </row>
    <row r="49" spans="1:26" x14ac:dyDescent="0.25">
      <c r="A49" s="691">
        <v>45</v>
      </c>
      <c r="B49" s="560">
        <v>4100</v>
      </c>
      <c r="C49" s="559" t="s">
        <v>298</v>
      </c>
      <c r="D49" s="561">
        <v>3753690.46</v>
      </c>
      <c r="E49" s="748">
        <v>312807.54399999999</v>
      </c>
      <c r="F49" s="595"/>
      <c r="G49" s="595"/>
      <c r="H49" s="710"/>
      <c r="I49" s="595"/>
      <c r="J49" s="718"/>
      <c r="K49" s="596"/>
      <c r="L49" s="596"/>
      <c r="M49" s="597"/>
      <c r="N49" s="562"/>
      <c r="O49" s="593"/>
      <c r="Q49" s="562">
        <f t="shared" si="0"/>
        <v>312807.54399999999</v>
      </c>
      <c r="R49" s="573">
        <v>0</v>
      </c>
    </row>
    <row r="50" spans="1:26" x14ac:dyDescent="0.25">
      <c r="A50" s="691">
        <v>46</v>
      </c>
      <c r="B50" s="606">
        <v>4102</v>
      </c>
      <c r="C50" s="602" t="s">
        <v>299</v>
      </c>
      <c r="D50" s="601">
        <v>0</v>
      </c>
      <c r="E50" s="749"/>
      <c r="F50" s="601"/>
      <c r="G50" s="601"/>
      <c r="H50" s="716"/>
      <c r="I50" s="601"/>
      <c r="J50" s="718"/>
      <c r="K50" s="596"/>
      <c r="L50" s="596"/>
      <c r="M50" s="597"/>
      <c r="N50" s="562"/>
      <c r="O50" s="593"/>
      <c r="Q50" s="562">
        <f t="shared" si="0"/>
        <v>0</v>
      </c>
      <c r="R50" s="573">
        <v>0</v>
      </c>
      <c r="S50" s="609"/>
      <c r="T50" s="610"/>
      <c r="U50" s="610"/>
      <c r="V50" s="610"/>
      <c r="W50" s="610"/>
      <c r="X50" s="610"/>
      <c r="Y50" s="610"/>
      <c r="Z50" s="610"/>
    </row>
    <row r="51" spans="1:26" x14ac:dyDescent="0.25">
      <c r="A51" s="691">
        <v>47</v>
      </c>
      <c r="B51" s="560">
        <v>4103</v>
      </c>
      <c r="C51" s="559" t="s">
        <v>324</v>
      </c>
      <c r="D51" s="561">
        <v>7927976.2700000014</v>
      </c>
      <c r="E51" s="748">
        <v>660664.68999999994</v>
      </c>
      <c r="F51" s="595"/>
      <c r="G51" s="595"/>
      <c r="H51" s="710"/>
      <c r="I51" s="595"/>
      <c r="J51" s="718"/>
      <c r="K51" s="596"/>
      <c r="L51" s="596"/>
      <c r="M51" s="597"/>
      <c r="N51" s="573"/>
      <c r="O51" s="597"/>
      <c r="P51" s="597"/>
      <c r="Q51" s="562">
        <f t="shared" si="0"/>
        <v>660664.68999999994</v>
      </c>
      <c r="R51" s="573">
        <v>0</v>
      </c>
    </row>
    <row r="52" spans="1:26" x14ac:dyDescent="0.25">
      <c r="A52" s="691">
        <v>48</v>
      </c>
      <c r="B52" s="560">
        <v>4111</v>
      </c>
      <c r="C52" s="559" t="s">
        <v>355</v>
      </c>
      <c r="D52" s="561">
        <v>2402747.8899999997</v>
      </c>
      <c r="E52" s="748">
        <v>200228.99</v>
      </c>
      <c r="F52" s="595"/>
      <c r="G52" s="595"/>
      <c r="H52" s="710"/>
      <c r="I52" s="595"/>
      <c r="J52" s="718"/>
      <c r="K52" s="596"/>
      <c r="L52" s="596"/>
      <c r="M52" s="597"/>
      <c r="N52" s="562"/>
      <c r="O52" s="593"/>
      <c r="Q52" s="562">
        <f t="shared" si="0"/>
        <v>200228.99</v>
      </c>
      <c r="R52" s="573">
        <v>0</v>
      </c>
    </row>
    <row r="53" spans="1:26" x14ac:dyDescent="0.25">
      <c r="A53" s="691">
        <v>49</v>
      </c>
      <c r="B53" s="560">
        <v>4131</v>
      </c>
      <c r="C53" s="559" t="s">
        <v>412</v>
      </c>
      <c r="D53" s="561">
        <v>793348.82</v>
      </c>
      <c r="E53" s="748">
        <v>66112.399999999994</v>
      </c>
      <c r="F53" s="595"/>
      <c r="G53" s="595"/>
      <c r="H53" s="710"/>
      <c r="I53" s="595"/>
      <c r="J53" s="718"/>
      <c r="K53" s="596"/>
      <c r="L53" s="596"/>
      <c r="M53" s="597"/>
      <c r="N53" s="562"/>
      <c r="O53" s="593"/>
      <c r="Q53" s="562">
        <f t="shared" si="0"/>
        <v>66112.399999999994</v>
      </c>
      <c r="R53" s="573">
        <v>0</v>
      </c>
    </row>
    <row r="54" spans="1:26" x14ac:dyDescent="0.25">
      <c r="E54" s="563"/>
      <c r="J54" s="720"/>
      <c r="L54" s="593"/>
      <c r="R54" s="573">
        <f t="shared" ref="R54:R55" si="1">SUM(E54:E54)</f>
        <v>0</v>
      </c>
    </row>
    <row r="55" spans="1:26" x14ac:dyDescent="0.25">
      <c r="D55" s="561">
        <f>SUM(D5:D54)</f>
        <v>201731881.24000004</v>
      </c>
      <c r="E55" s="563">
        <f>SUM(E5:E54)</f>
        <v>16810990.143999994</v>
      </c>
      <c r="F55" s="561">
        <f>SUM(F7:F54)</f>
        <v>0</v>
      </c>
      <c r="G55" s="561">
        <f>SUM(G7:G54)</f>
        <v>0</v>
      </c>
      <c r="H55" s="561">
        <f t="shared" ref="H55:M55" si="2">SUM(H5:H54)</f>
        <v>0</v>
      </c>
      <c r="I55" s="561">
        <f t="shared" si="2"/>
        <v>0</v>
      </c>
      <c r="J55" s="574">
        <f t="shared" si="2"/>
        <v>0</v>
      </c>
      <c r="K55" s="574">
        <f>SUM(K5:K54)</f>
        <v>0</v>
      </c>
      <c r="L55" s="726">
        <f>SUM(L5:L54)</f>
        <v>0</v>
      </c>
      <c r="M55" s="561">
        <f t="shared" si="2"/>
        <v>0</v>
      </c>
      <c r="N55" s="561">
        <f>SUM(N5:N54)</f>
        <v>0</v>
      </c>
      <c r="O55" s="561">
        <f t="shared" ref="O55:P55" si="3">SUM(O5:O54)</f>
        <v>0</v>
      </c>
      <c r="P55" s="726">
        <f t="shared" si="3"/>
        <v>0</v>
      </c>
      <c r="Q55" s="561">
        <f>SUM(Q5:Q54)</f>
        <v>16810990.143999994</v>
      </c>
      <c r="R55" s="573">
        <f t="shared" si="1"/>
        <v>16810990.143999994</v>
      </c>
    </row>
    <row r="57" spans="1:26" x14ac:dyDescent="0.25">
      <c r="I57" s="570" t="s">
        <v>294</v>
      </c>
      <c r="J57" s="563">
        <f>'Annual Rev &amp; Fees'!L63</f>
        <v>202880555.81999999</v>
      </c>
      <c r="L57" s="564"/>
    </row>
    <row r="58" spans="1:26" x14ac:dyDescent="0.25">
      <c r="I58" s="570" t="s">
        <v>551</v>
      </c>
      <c r="J58" s="566">
        <f>D55</f>
        <v>201731881.24000004</v>
      </c>
      <c r="L58" s="564"/>
    </row>
    <row r="59" spans="1:26" x14ac:dyDescent="0.25">
      <c r="I59" s="570" t="s">
        <v>552</v>
      </c>
      <c r="J59" s="565">
        <f>J58/12</f>
        <v>16810990.103333335</v>
      </c>
      <c r="K59" s="575"/>
      <c r="L59" s="564"/>
    </row>
    <row r="60" spans="1:26" x14ac:dyDescent="0.25">
      <c r="I60" s="570" t="s">
        <v>553</v>
      </c>
      <c r="J60" s="566">
        <f>E55</f>
        <v>16810990.143999994</v>
      </c>
      <c r="L60" s="564"/>
    </row>
    <row r="61" spans="1:26" x14ac:dyDescent="0.25">
      <c r="J61" s="565">
        <f>J59-J60</f>
        <v>-4.066665843129158E-2</v>
      </c>
      <c r="K61" s="572" t="s">
        <v>549</v>
      </c>
      <c r="L61" s="564"/>
    </row>
    <row r="62" spans="1:26" x14ac:dyDescent="0.25">
      <c r="J62" s="564"/>
      <c r="L62" s="564"/>
    </row>
    <row r="63" spans="1:26" x14ac:dyDescent="0.25">
      <c r="D63" s="576"/>
      <c r="J63" s="564"/>
      <c r="L63" s="564"/>
    </row>
    <row r="67" spans="1:18" x14ac:dyDescent="0.25">
      <c r="N67" s="594" t="s">
        <v>572</v>
      </c>
    </row>
    <row r="69" spans="1:18" ht="45" x14ac:dyDescent="0.25">
      <c r="A69" s="567" t="s">
        <v>328</v>
      </c>
      <c r="B69" s="568" t="s">
        <v>328</v>
      </c>
      <c r="C69" s="567" t="s">
        <v>328</v>
      </c>
      <c r="D69" s="578" t="s">
        <v>294</v>
      </c>
      <c r="E69" s="578" t="s">
        <v>537</v>
      </c>
      <c r="F69" s="568" t="s">
        <v>538</v>
      </c>
      <c r="G69" s="568" t="s">
        <v>539</v>
      </c>
      <c r="H69" s="568" t="s">
        <v>540</v>
      </c>
      <c r="I69" s="568" t="s">
        <v>541</v>
      </c>
      <c r="J69" s="568" t="s">
        <v>542</v>
      </c>
      <c r="K69" s="579" t="s">
        <v>543</v>
      </c>
      <c r="L69" s="568" t="s">
        <v>544</v>
      </c>
      <c r="M69" s="568" t="s">
        <v>545</v>
      </c>
      <c r="N69" s="568" t="s">
        <v>546</v>
      </c>
      <c r="O69" s="568" t="s">
        <v>547</v>
      </c>
      <c r="P69" s="746" t="s">
        <v>548</v>
      </c>
      <c r="Q69" s="568" t="s">
        <v>8</v>
      </c>
      <c r="R69" s="569" t="s">
        <v>550</v>
      </c>
    </row>
    <row r="70" spans="1:18" x14ac:dyDescent="0.25">
      <c r="A70" s="567"/>
      <c r="B70" s="568"/>
      <c r="C70" s="691" t="s">
        <v>587</v>
      </c>
      <c r="D70" s="578"/>
      <c r="E70" s="578"/>
      <c r="F70" s="568"/>
      <c r="G70" s="568"/>
      <c r="H70" s="714"/>
      <c r="I70" s="717"/>
      <c r="J70" s="724"/>
      <c r="K70" s="725"/>
      <c r="L70" s="725"/>
      <c r="M70" s="735"/>
      <c r="N70" s="736"/>
      <c r="O70" s="745"/>
      <c r="P70" s="746"/>
      <c r="Q70" s="715">
        <f>SUM(E70:P70)</f>
        <v>0</v>
      </c>
      <c r="R70" s="573">
        <f>SUM(E70:E70)</f>
        <v>0</v>
      </c>
    </row>
    <row r="71" spans="1:18" x14ac:dyDescent="0.25">
      <c r="A71" s="567"/>
      <c r="B71" s="568"/>
      <c r="C71" s="691" t="s">
        <v>588</v>
      </c>
      <c r="D71" s="578"/>
      <c r="E71" s="578"/>
      <c r="F71" s="568"/>
      <c r="G71" s="568"/>
      <c r="H71" s="714"/>
      <c r="I71" s="717"/>
      <c r="J71" s="724"/>
      <c r="K71" s="725"/>
      <c r="L71" s="725"/>
      <c r="M71" s="735"/>
      <c r="N71" s="736"/>
      <c r="O71" s="745"/>
      <c r="P71" s="746"/>
      <c r="Q71" s="715">
        <f>SUM(E71:P71)</f>
        <v>0</v>
      </c>
      <c r="R71" s="573">
        <f t="shared" ref="R71:R115" si="4">SUM(E71:E71)</f>
        <v>0</v>
      </c>
    </row>
    <row r="72" spans="1:18" x14ac:dyDescent="0.25">
      <c r="A72" s="559">
        <v>1</v>
      </c>
      <c r="B72" s="560" t="s">
        <v>158</v>
      </c>
      <c r="C72" s="559" t="s">
        <v>190</v>
      </c>
      <c r="D72" s="561">
        <v>6536346.29</v>
      </c>
      <c r="E72" s="595"/>
      <c r="F72" s="595"/>
      <c r="G72" s="595"/>
      <c r="H72" s="595"/>
      <c r="I72" s="718"/>
      <c r="J72" s="718"/>
      <c r="K72" s="596"/>
      <c r="L72" s="597"/>
      <c r="M72" s="597"/>
      <c r="N72" s="597"/>
      <c r="O72" s="593"/>
      <c r="Q72" s="715">
        <f>SUM(E72:P72)</f>
        <v>0</v>
      </c>
      <c r="R72" s="573">
        <f t="shared" si="4"/>
        <v>0</v>
      </c>
    </row>
    <row r="73" spans="1:18" x14ac:dyDescent="0.25">
      <c r="A73" s="559">
        <v>2</v>
      </c>
      <c r="B73" s="560" t="s">
        <v>159</v>
      </c>
      <c r="C73" s="559" t="s">
        <v>192</v>
      </c>
      <c r="D73" s="561">
        <v>8953799.410000002</v>
      </c>
      <c r="E73" s="595"/>
      <c r="F73" s="595"/>
      <c r="G73" s="595"/>
      <c r="H73" s="595"/>
      <c r="I73" s="718"/>
      <c r="J73" s="718"/>
      <c r="K73" s="596"/>
      <c r="L73" s="597"/>
      <c r="M73" s="597"/>
      <c r="N73" s="597"/>
      <c r="O73" s="593"/>
      <c r="Q73" s="715">
        <f>SUM(E73:P73)</f>
        <v>0</v>
      </c>
      <c r="R73" s="573">
        <f t="shared" si="4"/>
        <v>0</v>
      </c>
    </row>
    <row r="74" spans="1:18" x14ac:dyDescent="0.25">
      <c r="A74" s="559">
        <v>3</v>
      </c>
      <c r="B74" s="560" t="s">
        <v>160</v>
      </c>
      <c r="C74" s="559" t="s">
        <v>193</v>
      </c>
      <c r="D74" s="561">
        <v>1156850.6299999999</v>
      </c>
      <c r="E74" s="595"/>
      <c r="F74" s="595"/>
      <c r="G74" s="595"/>
      <c r="H74" s="595"/>
      <c r="I74" s="718"/>
      <c r="J74" s="718"/>
      <c r="K74" s="596"/>
      <c r="L74" s="597"/>
      <c r="M74" s="597"/>
      <c r="N74" s="597"/>
      <c r="O74" s="593"/>
      <c r="Q74" s="715">
        <f t="shared" ref="Q74:Q114" si="5">SUM(E74:P74)</f>
        <v>0</v>
      </c>
      <c r="R74" s="573">
        <f t="shared" si="4"/>
        <v>0</v>
      </c>
    </row>
    <row r="75" spans="1:18" x14ac:dyDescent="0.25">
      <c r="A75" s="559">
        <v>4</v>
      </c>
      <c r="B75" s="560" t="s">
        <v>161</v>
      </c>
      <c r="C75" s="559" t="s">
        <v>194</v>
      </c>
      <c r="D75" s="561">
        <v>952582.03</v>
      </c>
      <c r="E75" s="595"/>
      <c r="F75" s="595"/>
      <c r="G75" s="595"/>
      <c r="H75" s="595"/>
      <c r="I75" s="718"/>
      <c r="J75" s="718"/>
      <c r="K75" s="596"/>
      <c r="L75" s="597"/>
      <c r="M75" s="597"/>
      <c r="N75" s="597"/>
      <c r="O75" s="593"/>
      <c r="Q75" s="715">
        <f t="shared" si="5"/>
        <v>0</v>
      </c>
      <c r="R75" s="573">
        <f t="shared" si="4"/>
        <v>0</v>
      </c>
    </row>
    <row r="76" spans="1:18" x14ac:dyDescent="0.25">
      <c r="A76" s="559">
        <v>5</v>
      </c>
      <c r="B76" s="560" t="s">
        <v>162</v>
      </c>
      <c r="C76" s="559" t="s">
        <v>295</v>
      </c>
      <c r="D76" s="561">
        <v>4497003.78</v>
      </c>
      <c r="E76" s="595"/>
      <c r="F76" s="595"/>
      <c r="G76" s="595"/>
      <c r="H76" s="595"/>
      <c r="I76" s="718"/>
      <c r="J76" s="718"/>
      <c r="K76" s="596"/>
      <c r="L76" s="597"/>
      <c r="M76" s="597"/>
      <c r="N76" s="597"/>
      <c r="O76" s="593"/>
      <c r="Q76" s="715">
        <f t="shared" si="5"/>
        <v>0</v>
      </c>
      <c r="R76" s="573">
        <f t="shared" si="4"/>
        <v>0</v>
      </c>
    </row>
    <row r="77" spans="1:18" x14ac:dyDescent="0.25">
      <c r="A77" s="559">
        <v>6</v>
      </c>
      <c r="B77" s="560" t="s">
        <v>163</v>
      </c>
      <c r="C77" s="559" t="s">
        <v>415</v>
      </c>
      <c r="D77" s="561">
        <v>5275816.53</v>
      </c>
      <c r="E77" s="595"/>
      <c r="F77" s="595"/>
      <c r="G77" s="595"/>
      <c r="H77" s="595"/>
      <c r="I77" s="718"/>
      <c r="J77" s="718"/>
      <c r="K77" s="596"/>
      <c r="L77" s="597"/>
      <c r="M77" s="597"/>
      <c r="N77" s="597"/>
      <c r="O77" s="593"/>
      <c r="Q77" s="715">
        <f t="shared" si="5"/>
        <v>0</v>
      </c>
      <c r="R77" s="573">
        <f t="shared" si="4"/>
        <v>0</v>
      </c>
    </row>
    <row r="78" spans="1:18" x14ac:dyDescent="0.25">
      <c r="A78" s="559">
        <v>7</v>
      </c>
      <c r="B78" s="560" t="s">
        <v>164</v>
      </c>
      <c r="C78" s="559" t="s">
        <v>196</v>
      </c>
      <c r="D78" s="561">
        <v>5522296.9900000002</v>
      </c>
      <c r="E78" s="595"/>
      <c r="F78" s="595"/>
      <c r="G78" s="595"/>
      <c r="H78" s="595"/>
      <c r="I78" s="718"/>
      <c r="J78" s="718"/>
      <c r="K78" s="596"/>
      <c r="L78" s="597"/>
      <c r="M78" s="597"/>
      <c r="N78" s="597"/>
      <c r="O78" s="593"/>
      <c r="Q78" s="715">
        <f t="shared" si="5"/>
        <v>0</v>
      </c>
      <c r="R78" s="573">
        <f t="shared" si="4"/>
        <v>0</v>
      </c>
    </row>
    <row r="79" spans="1:18" x14ac:dyDescent="0.25">
      <c r="A79" s="559">
        <v>8</v>
      </c>
      <c r="B79" s="560" t="s">
        <v>165</v>
      </c>
      <c r="C79" s="559" t="s">
        <v>197</v>
      </c>
      <c r="D79" s="561">
        <v>10438762.450000001</v>
      </c>
      <c r="E79" s="595"/>
      <c r="F79" s="595"/>
      <c r="G79" s="595"/>
      <c r="H79" s="595"/>
      <c r="I79" s="718"/>
      <c r="J79" s="718"/>
      <c r="K79" s="596"/>
      <c r="L79" s="597"/>
      <c r="M79" s="597"/>
      <c r="N79" s="597"/>
      <c r="O79" s="593"/>
      <c r="Q79" s="715">
        <f t="shared" si="5"/>
        <v>0</v>
      </c>
      <c r="R79" s="573">
        <f t="shared" si="4"/>
        <v>0</v>
      </c>
    </row>
    <row r="80" spans="1:18" x14ac:dyDescent="0.25">
      <c r="A80" s="559">
        <v>9</v>
      </c>
      <c r="B80" s="560" t="s">
        <v>166</v>
      </c>
      <c r="C80" s="559" t="s">
        <v>427</v>
      </c>
      <c r="D80" s="561">
        <v>5035880.4999999981</v>
      </c>
      <c r="E80" s="595"/>
      <c r="F80" s="595"/>
      <c r="G80" s="595"/>
      <c r="H80" s="595"/>
      <c r="I80" s="718"/>
      <c r="J80" s="718"/>
      <c r="K80" s="596"/>
      <c r="L80" s="597"/>
      <c r="M80" s="597"/>
      <c r="N80" s="597"/>
      <c r="O80" s="593"/>
      <c r="Q80" s="715">
        <f t="shared" si="5"/>
        <v>0</v>
      </c>
      <c r="R80" s="573">
        <f t="shared" si="4"/>
        <v>0</v>
      </c>
    </row>
    <row r="81" spans="1:18" x14ac:dyDescent="0.25">
      <c r="A81" s="559">
        <v>10</v>
      </c>
      <c r="B81" s="560" t="s">
        <v>167</v>
      </c>
      <c r="C81" s="559" t="s">
        <v>426</v>
      </c>
      <c r="D81" s="561">
        <v>1027156.0000000002</v>
      </c>
      <c r="E81" s="595"/>
      <c r="F81" s="595"/>
      <c r="G81" s="595"/>
      <c r="H81" s="595"/>
      <c r="I81" s="718"/>
      <c r="J81" s="718"/>
      <c r="K81" s="596"/>
      <c r="L81" s="597"/>
      <c r="M81" s="597"/>
      <c r="N81" s="597"/>
      <c r="O81" s="593"/>
      <c r="Q81" s="715">
        <f t="shared" si="5"/>
        <v>0</v>
      </c>
      <c r="R81" s="573">
        <f t="shared" si="4"/>
        <v>0</v>
      </c>
    </row>
    <row r="82" spans="1:18" x14ac:dyDescent="0.25">
      <c r="A82" s="559">
        <v>11</v>
      </c>
      <c r="B82" s="560" t="s">
        <v>168</v>
      </c>
      <c r="C82" s="559" t="s">
        <v>200</v>
      </c>
      <c r="D82" s="561">
        <v>9060317.0200000014</v>
      </c>
      <c r="E82" s="595"/>
      <c r="F82" s="595"/>
      <c r="G82" s="595"/>
      <c r="H82" s="595"/>
      <c r="I82" s="718"/>
      <c r="J82" s="718"/>
      <c r="K82" s="596"/>
      <c r="L82" s="597"/>
      <c r="M82" s="597"/>
      <c r="N82" s="597"/>
      <c r="O82" s="593"/>
      <c r="Q82" s="715">
        <f t="shared" si="5"/>
        <v>0</v>
      </c>
      <c r="R82" s="573">
        <f t="shared" si="4"/>
        <v>0</v>
      </c>
    </row>
    <row r="83" spans="1:18" x14ac:dyDescent="0.25">
      <c r="A83" s="559">
        <v>12</v>
      </c>
      <c r="B83" s="560" t="s">
        <v>169</v>
      </c>
      <c r="C83" s="559" t="s">
        <v>202</v>
      </c>
      <c r="D83" s="561">
        <v>2211875.7700000005</v>
      </c>
      <c r="E83" s="595"/>
      <c r="F83" s="595"/>
      <c r="G83" s="595"/>
      <c r="H83" s="595"/>
      <c r="I83" s="718"/>
      <c r="J83" s="718"/>
      <c r="K83" s="596"/>
      <c r="L83" s="597"/>
      <c r="M83" s="597"/>
      <c r="N83" s="597"/>
      <c r="O83" s="593"/>
      <c r="Q83" s="715">
        <f t="shared" si="5"/>
        <v>0</v>
      </c>
      <c r="R83" s="573">
        <f t="shared" si="4"/>
        <v>0</v>
      </c>
    </row>
    <row r="84" spans="1:18" x14ac:dyDescent="0.25">
      <c r="A84" s="559">
        <v>13</v>
      </c>
      <c r="B84" s="560" t="s">
        <v>170</v>
      </c>
      <c r="C84" s="559" t="s">
        <v>204</v>
      </c>
      <c r="D84" s="561">
        <v>400303.13</v>
      </c>
      <c r="E84" s="595"/>
      <c r="F84" s="595"/>
      <c r="G84" s="595"/>
      <c r="H84" s="595"/>
      <c r="I84" s="718"/>
      <c r="J84" s="718"/>
      <c r="K84" s="596"/>
      <c r="L84" s="597"/>
      <c r="M84" s="597"/>
      <c r="N84" s="597"/>
      <c r="O84" s="593"/>
      <c r="Q84" s="715">
        <f t="shared" si="5"/>
        <v>0</v>
      </c>
      <c r="R84" s="573">
        <f t="shared" si="4"/>
        <v>0</v>
      </c>
    </row>
    <row r="85" spans="1:18" x14ac:dyDescent="0.25">
      <c r="A85" s="559">
        <v>14</v>
      </c>
      <c r="B85" s="560" t="s">
        <v>171</v>
      </c>
      <c r="C85" s="559" t="s">
        <v>205</v>
      </c>
      <c r="D85" s="561">
        <v>1737052.6</v>
      </c>
      <c r="E85" s="595"/>
      <c r="F85" s="595"/>
      <c r="G85" s="595"/>
      <c r="H85" s="595"/>
      <c r="I85" s="718"/>
      <c r="J85" s="718"/>
      <c r="K85" s="596"/>
      <c r="L85" s="597"/>
      <c r="M85" s="597"/>
      <c r="N85" s="597"/>
      <c r="O85" s="593"/>
      <c r="Q85" s="715">
        <f t="shared" si="5"/>
        <v>0</v>
      </c>
      <c r="R85" s="573">
        <f t="shared" si="4"/>
        <v>0</v>
      </c>
    </row>
    <row r="86" spans="1:18" x14ac:dyDescent="0.25">
      <c r="A86" s="559">
        <v>15</v>
      </c>
      <c r="B86" s="560" t="s">
        <v>172</v>
      </c>
      <c r="C86" s="559" t="s">
        <v>296</v>
      </c>
      <c r="D86" s="561">
        <v>4462369.46</v>
      </c>
      <c r="E86" s="595"/>
      <c r="F86" s="595"/>
      <c r="G86" s="595"/>
      <c r="H86" s="595"/>
      <c r="I86" s="718"/>
      <c r="J86" s="718"/>
      <c r="K86" s="596"/>
      <c r="L86" s="597"/>
      <c r="M86" s="597"/>
      <c r="N86" s="597"/>
      <c r="O86" s="593"/>
      <c r="Q86" s="715">
        <f t="shared" si="5"/>
        <v>0</v>
      </c>
      <c r="R86" s="573">
        <f t="shared" si="4"/>
        <v>0</v>
      </c>
    </row>
    <row r="87" spans="1:18" x14ac:dyDescent="0.25">
      <c r="A87" s="559">
        <v>16</v>
      </c>
      <c r="B87" s="560" t="s">
        <v>173</v>
      </c>
      <c r="C87" s="559" t="s">
        <v>227</v>
      </c>
      <c r="D87" s="561">
        <v>5507739.4900000002</v>
      </c>
      <c r="E87" s="595"/>
      <c r="F87" s="595"/>
      <c r="G87" s="595"/>
      <c r="H87" s="595"/>
      <c r="I87" s="718"/>
      <c r="J87" s="718"/>
      <c r="K87" s="596"/>
      <c r="L87" s="597"/>
      <c r="M87" s="597"/>
      <c r="N87" s="597"/>
      <c r="O87" s="593"/>
      <c r="Q87" s="715">
        <f t="shared" si="5"/>
        <v>0</v>
      </c>
      <c r="R87" s="573">
        <f t="shared" si="4"/>
        <v>0</v>
      </c>
    </row>
    <row r="88" spans="1:18" x14ac:dyDescent="0.25">
      <c r="A88" s="559">
        <v>17</v>
      </c>
      <c r="B88" s="560" t="s">
        <v>174</v>
      </c>
      <c r="C88" s="559" t="s">
        <v>195</v>
      </c>
      <c r="D88" s="561">
        <v>991675.07000000007</v>
      </c>
      <c r="E88" s="595"/>
      <c r="F88" s="595"/>
      <c r="G88" s="595"/>
      <c r="H88" s="595"/>
      <c r="I88" s="718"/>
      <c r="J88" s="718"/>
      <c r="K88" s="596"/>
      <c r="L88" s="597"/>
      <c r="M88" s="597"/>
      <c r="N88" s="597"/>
      <c r="O88" s="593"/>
      <c r="Q88" s="715">
        <f t="shared" si="5"/>
        <v>0</v>
      </c>
      <c r="R88" s="573">
        <f t="shared" si="4"/>
        <v>0</v>
      </c>
    </row>
    <row r="89" spans="1:18" x14ac:dyDescent="0.25">
      <c r="A89" s="559">
        <v>18</v>
      </c>
      <c r="B89" s="560" t="s">
        <v>175</v>
      </c>
      <c r="C89" s="559" t="s">
        <v>189</v>
      </c>
      <c r="D89" s="561">
        <v>1123600.3600000001</v>
      </c>
      <c r="E89" s="595"/>
      <c r="F89" s="595"/>
      <c r="G89" s="595"/>
      <c r="H89" s="595"/>
      <c r="I89" s="718"/>
      <c r="J89" s="718"/>
      <c r="K89" s="596"/>
      <c r="L89" s="597"/>
      <c r="M89" s="597"/>
      <c r="N89" s="597"/>
      <c r="O89" s="593"/>
      <c r="Q89" s="715">
        <f t="shared" si="5"/>
        <v>0</v>
      </c>
      <c r="R89" s="573">
        <f t="shared" si="4"/>
        <v>0</v>
      </c>
    </row>
    <row r="90" spans="1:18" x14ac:dyDescent="0.25">
      <c r="A90" s="559">
        <v>19</v>
      </c>
      <c r="B90" s="560" t="s">
        <v>176</v>
      </c>
      <c r="C90" s="559" t="s">
        <v>206</v>
      </c>
      <c r="D90" s="561">
        <v>3149968.52</v>
      </c>
      <c r="E90" s="595"/>
      <c r="F90" s="595"/>
      <c r="G90" s="595"/>
      <c r="H90" s="595"/>
      <c r="I90" s="718"/>
      <c r="J90" s="718"/>
      <c r="K90" s="596"/>
      <c r="L90" s="597"/>
      <c r="M90" s="597"/>
      <c r="N90" s="597"/>
      <c r="O90" s="593"/>
      <c r="Q90" s="715">
        <f t="shared" si="5"/>
        <v>0</v>
      </c>
      <c r="R90" s="573">
        <f t="shared" si="4"/>
        <v>0</v>
      </c>
    </row>
    <row r="91" spans="1:18" x14ac:dyDescent="0.25">
      <c r="A91" s="559">
        <v>20</v>
      </c>
      <c r="B91" s="560" t="s">
        <v>177</v>
      </c>
      <c r="C91" s="559" t="s">
        <v>207</v>
      </c>
      <c r="D91" s="561">
        <v>3267680.47</v>
      </c>
      <c r="E91" s="595"/>
      <c r="F91" s="595"/>
      <c r="G91" s="595"/>
      <c r="H91" s="595"/>
      <c r="I91" s="718"/>
      <c r="J91" s="718"/>
      <c r="K91" s="596"/>
      <c r="L91" s="597"/>
      <c r="M91" s="597"/>
      <c r="N91" s="597"/>
      <c r="O91" s="593"/>
      <c r="Q91" s="715">
        <f t="shared" si="5"/>
        <v>0</v>
      </c>
      <c r="R91" s="573">
        <f t="shared" si="4"/>
        <v>0</v>
      </c>
    </row>
    <row r="92" spans="1:18" x14ac:dyDescent="0.25">
      <c r="A92" s="559">
        <v>21</v>
      </c>
      <c r="B92" s="560" t="s">
        <v>178</v>
      </c>
      <c r="C92" s="559" t="s">
        <v>208</v>
      </c>
      <c r="D92" s="561">
        <v>3244504.85</v>
      </c>
      <c r="E92" s="595"/>
      <c r="F92" s="595"/>
      <c r="G92" s="595"/>
      <c r="H92" s="595"/>
      <c r="I92" s="718"/>
      <c r="J92" s="718"/>
      <c r="K92" s="596"/>
      <c r="L92" s="597"/>
      <c r="M92" s="597"/>
      <c r="N92" s="597"/>
      <c r="O92" s="593"/>
      <c r="Q92" s="715">
        <f t="shared" si="5"/>
        <v>0</v>
      </c>
      <c r="R92" s="573">
        <f t="shared" si="4"/>
        <v>0</v>
      </c>
    </row>
    <row r="93" spans="1:18" x14ac:dyDescent="0.25">
      <c r="A93" s="559">
        <v>22</v>
      </c>
      <c r="B93" s="560" t="s">
        <v>179</v>
      </c>
      <c r="C93" s="559" t="s">
        <v>210</v>
      </c>
      <c r="D93" s="561">
        <v>8464587.6199999992</v>
      </c>
      <c r="E93" s="595"/>
      <c r="F93" s="595"/>
      <c r="G93" s="595"/>
      <c r="H93" s="595"/>
      <c r="I93" s="718"/>
      <c r="J93" s="718"/>
      <c r="K93" s="596"/>
      <c r="L93" s="597"/>
      <c r="M93" s="597"/>
      <c r="N93" s="597"/>
      <c r="O93" s="593"/>
      <c r="Q93" s="715">
        <f t="shared" si="5"/>
        <v>0</v>
      </c>
      <c r="R93" s="573">
        <f t="shared" si="4"/>
        <v>0</v>
      </c>
    </row>
    <row r="94" spans="1:18" x14ac:dyDescent="0.25">
      <c r="A94" s="559">
        <v>23</v>
      </c>
      <c r="B94" s="560">
        <v>3441</v>
      </c>
      <c r="C94" s="559" t="s">
        <v>228</v>
      </c>
      <c r="D94" s="561">
        <v>4358946.4000000004</v>
      </c>
      <c r="E94" s="595"/>
      <c r="F94" s="595"/>
      <c r="G94" s="595"/>
      <c r="H94" s="595"/>
      <c r="I94" s="718"/>
      <c r="J94" s="718"/>
      <c r="K94" s="596"/>
      <c r="L94" s="597"/>
      <c r="M94" s="597"/>
      <c r="N94" s="597"/>
      <c r="O94" s="593"/>
      <c r="Q94" s="715">
        <f t="shared" si="5"/>
        <v>0</v>
      </c>
      <c r="R94" s="573">
        <f t="shared" si="4"/>
        <v>0</v>
      </c>
    </row>
    <row r="95" spans="1:18" x14ac:dyDescent="0.25">
      <c r="A95" s="559">
        <v>24</v>
      </c>
      <c r="B95" s="560">
        <v>3924</v>
      </c>
      <c r="C95" s="559" t="s">
        <v>414</v>
      </c>
      <c r="D95" s="561">
        <v>3864428.6500000004</v>
      </c>
      <c r="E95" s="595"/>
      <c r="F95" s="595"/>
      <c r="G95" s="595"/>
      <c r="H95" s="595"/>
      <c r="I95" s="718"/>
      <c r="J95" s="718"/>
      <c r="K95" s="596"/>
      <c r="L95" s="597"/>
      <c r="M95" s="597"/>
      <c r="N95" s="597"/>
      <c r="O95" s="593"/>
      <c r="Q95" s="715">
        <f t="shared" si="5"/>
        <v>0</v>
      </c>
      <c r="R95" s="573">
        <f t="shared" si="4"/>
        <v>0</v>
      </c>
    </row>
    <row r="96" spans="1:18" x14ac:dyDescent="0.25">
      <c r="A96" s="559">
        <v>25</v>
      </c>
      <c r="B96" s="560" t="s">
        <v>180</v>
      </c>
      <c r="C96" s="559" t="s">
        <v>191</v>
      </c>
      <c r="D96" s="561">
        <v>2210934.4499999997</v>
      </c>
      <c r="E96" s="595"/>
      <c r="F96" s="595"/>
      <c r="G96" s="595"/>
      <c r="H96" s="595"/>
      <c r="I96" s="718"/>
      <c r="J96" s="718"/>
      <c r="K96" s="596"/>
      <c r="L96" s="597"/>
      <c r="M96" s="597"/>
      <c r="N96" s="597"/>
      <c r="O96" s="593"/>
      <c r="Q96" s="715">
        <f t="shared" si="5"/>
        <v>0</v>
      </c>
      <c r="R96" s="573">
        <f t="shared" si="4"/>
        <v>0</v>
      </c>
    </row>
    <row r="97" spans="1:18" x14ac:dyDescent="0.25">
      <c r="A97" s="559">
        <v>26</v>
      </c>
      <c r="B97" s="560" t="s">
        <v>181</v>
      </c>
      <c r="C97" s="559" t="s">
        <v>201</v>
      </c>
      <c r="D97" s="561">
        <v>2736635.01</v>
      </c>
      <c r="E97" s="595"/>
      <c r="F97" s="595"/>
      <c r="G97" s="595"/>
      <c r="H97" s="595"/>
      <c r="I97" s="718"/>
      <c r="J97" s="718"/>
      <c r="K97" s="596"/>
      <c r="L97" s="597"/>
      <c r="M97" s="597"/>
      <c r="N97" s="597"/>
      <c r="O97" s="593"/>
      <c r="Q97" s="715">
        <f t="shared" si="5"/>
        <v>0</v>
      </c>
      <c r="R97" s="573">
        <f t="shared" si="4"/>
        <v>0</v>
      </c>
    </row>
    <row r="98" spans="1:18" x14ac:dyDescent="0.25">
      <c r="A98" s="559">
        <v>27</v>
      </c>
      <c r="B98" s="560" t="s">
        <v>182</v>
      </c>
      <c r="C98" s="559" t="s">
        <v>354</v>
      </c>
      <c r="D98" s="561">
        <v>5518391.5700000003</v>
      </c>
      <c r="E98" s="595"/>
      <c r="F98" s="595"/>
      <c r="G98" s="595"/>
      <c r="H98" s="595"/>
      <c r="I98" s="718"/>
      <c r="J98" s="718"/>
      <c r="K98" s="596"/>
      <c r="L98" s="597"/>
      <c r="M98" s="597"/>
      <c r="N98" s="597"/>
      <c r="O98" s="593"/>
      <c r="Q98" s="715">
        <f t="shared" si="5"/>
        <v>0</v>
      </c>
      <c r="R98" s="573">
        <f t="shared" si="4"/>
        <v>0</v>
      </c>
    </row>
    <row r="99" spans="1:18" x14ac:dyDescent="0.25">
      <c r="A99" s="559">
        <v>28</v>
      </c>
      <c r="B99" s="560" t="s">
        <v>183</v>
      </c>
      <c r="C99" s="559" t="s">
        <v>219</v>
      </c>
      <c r="D99" s="561">
        <v>6039805.7000000002</v>
      </c>
      <c r="E99" s="595"/>
      <c r="F99" s="595"/>
      <c r="G99" s="595"/>
      <c r="H99" s="595"/>
      <c r="I99" s="718"/>
      <c r="J99" s="718"/>
      <c r="K99" s="596"/>
      <c r="L99" s="597"/>
      <c r="M99" s="597"/>
      <c r="N99" s="597"/>
      <c r="O99" s="593"/>
      <c r="Q99" s="715">
        <f t="shared" si="5"/>
        <v>0</v>
      </c>
      <c r="R99" s="573">
        <f t="shared" si="4"/>
        <v>0</v>
      </c>
    </row>
    <row r="100" spans="1:18" x14ac:dyDescent="0.25">
      <c r="A100" s="559">
        <v>29</v>
      </c>
      <c r="B100" s="560">
        <v>4002</v>
      </c>
      <c r="C100" s="559" t="s">
        <v>218</v>
      </c>
      <c r="D100" s="561">
        <v>9364415.1300000008</v>
      </c>
      <c r="E100" s="595"/>
      <c r="F100" s="595"/>
      <c r="G100" s="595"/>
      <c r="H100" s="595"/>
      <c r="I100" s="718"/>
      <c r="J100" s="718"/>
      <c r="K100" s="596"/>
      <c r="L100" s="597"/>
      <c r="M100" s="597"/>
      <c r="N100" s="597"/>
      <c r="O100" s="593"/>
      <c r="Q100" s="715">
        <f t="shared" si="5"/>
        <v>0</v>
      </c>
      <c r="R100" s="573">
        <f t="shared" si="4"/>
        <v>0</v>
      </c>
    </row>
    <row r="101" spans="1:18" x14ac:dyDescent="0.25">
      <c r="A101" s="559">
        <v>30</v>
      </c>
      <c r="B101" s="560">
        <v>4012</v>
      </c>
      <c r="C101" s="559" t="s">
        <v>221</v>
      </c>
      <c r="D101" s="561">
        <v>5324773.49</v>
      </c>
      <c r="E101" s="595"/>
      <c r="F101" s="595"/>
      <c r="G101" s="595"/>
      <c r="H101" s="595"/>
      <c r="I101" s="718"/>
      <c r="J101" s="718"/>
      <c r="K101" s="596"/>
      <c r="L101" s="597"/>
      <c r="M101" s="597"/>
      <c r="N101" s="597"/>
      <c r="O101" s="593"/>
      <c r="Q101" s="715">
        <f t="shared" si="5"/>
        <v>0</v>
      </c>
      <c r="R101" s="573">
        <f t="shared" si="4"/>
        <v>0</v>
      </c>
    </row>
    <row r="102" spans="1:18" x14ac:dyDescent="0.25">
      <c r="A102" s="559">
        <v>31</v>
      </c>
      <c r="B102" s="560">
        <v>4013</v>
      </c>
      <c r="C102" s="559" t="s">
        <v>223</v>
      </c>
      <c r="D102" s="561">
        <v>7881586.6499999994</v>
      </c>
      <c r="E102" s="595"/>
      <c r="F102" s="595"/>
      <c r="G102" s="595"/>
      <c r="H102" s="595"/>
      <c r="I102" s="718"/>
      <c r="J102" s="718"/>
      <c r="K102" s="596"/>
      <c r="L102" s="597"/>
      <c r="M102" s="597"/>
      <c r="N102" s="597"/>
      <c r="O102" s="593"/>
      <c r="Q102" s="715">
        <f t="shared" si="5"/>
        <v>0</v>
      </c>
      <c r="R102" s="573">
        <f t="shared" si="4"/>
        <v>0</v>
      </c>
    </row>
    <row r="103" spans="1:18" x14ac:dyDescent="0.25">
      <c r="A103" s="559">
        <v>32</v>
      </c>
      <c r="B103" s="560">
        <v>4020</v>
      </c>
      <c r="C103" s="559" t="s">
        <v>364</v>
      </c>
      <c r="D103" s="561">
        <v>10221955.630000001</v>
      </c>
      <c r="E103" s="595"/>
      <c r="F103" s="595"/>
      <c r="G103" s="595"/>
      <c r="H103" s="595"/>
      <c r="I103" s="718"/>
      <c r="J103" s="718"/>
      <c r="K103" s="596"/>
      <c r="L103" s="597"/>
      <c r="M103" s="597"/>
      <c r="N103" s="597"/>
      <c r="O103" s="593"/>
      <c r="Q103" s="715">
        <f t="shared" si="5"/>
        <v>0</v>
      </c>
      <c r="R103" s="573">
        <f t="shared" si="4"/>
        <v>0</v>
      </c>
    </row>
    <row r="104" spans="1:18" x14ac:dyDescent="0.25">
      <c r="A104" s="559">
        <v>33</v>
      </c>
      <c r="B104" s="560">
        <v>4030</v>
      </c>
      <c r="C104" s="559" t="s">
        <v>348</v>
      </c>
      <c r="D104" s="561">
        <v>2743878.8399999994</v>
      </c>
      <c r="E104" s="595"/>
      <c r="F104" s="595"/>
      <c r="G104" s="595"/>
      <c r="H104" s="595"/>
      <c r="I104" s="718"/>
      <c r="J104" s="718"/>
      <c r="K104" s="596"/>
      <c r="L104" s="597"/>
      <c r="M104" s="597"/>
      <c r="N104" s="597"/>
      <c r="O104" s="593"/>
      <c r="Q104" s="715">
        <f t="shared" si="5"/>
        <v>0</v>
      </c>
      <c r="R104" s="573">
        <f t="shared" si="4"/>
        <v>0</v>
      </c>
    </row>
    <row r="105" spans="1:18" x14ac:dyDescent="0.25">
      <c r="A105" s="559">
        <v>34</v>
      </c>
      <c r="B105" s="560">
        <v>4031</v>
      </c>
      <c r="C105" s="559" t="s">
        <v>376</v>
      </c>
      <c r="D105" s="561">
        <v>4523431.59</v>
      </c>
      <c r="E105" s="595"/>
      <c r="F105" s="595"/>
      <c r="G105" s="595"/>
      <c r="H105" s="595"/>
      <c r="I105" s="718"/>
      <c r="J105" s="718"/>
      <c r="K105" s="596"/>
      <c r="L105" s="597"/>
      <c r="M105" s="597"/>
      <c r="N105" s="597"/>
      <c r="O105" s="593"/>
      <c r="Q105" s="715">
        <f t="shared" si="5"/>
        <v>0</v>
      </c>
      <c r="R105" s="573">
        <f t="shared" si="4"/>
        <v>0</v>
      </c>
    </row>
    <row r="106" spans="1:18" x14ac:dyDescent="0.25">
      <c r="A106" s="559">
        <v>35</v>
      </c>
      <c r="B106" s="560">
        <v>4041</v>
      </c>
      <c r="C106" s="559" t="s">
        <v>225</v>
      </c>
      <c r="D106" s="561">
        <v>734245.24</v>
      </c>
      <c r="E106" s="595"/>
      <c r="F106" s="595"/>
      <c r="G106" s="595"/>
      <c r="H106" s="595"/>
      <c r="I106" s="718"/>
      <c r="J106" s="718"/>
      <c r="K106" s="596"/>
      <c r="L106" s="597"/>
      <c r="M106" s="597"/>
      <c r="N106" s="597"/>
      <c r="O106" s="593"/>
      <c r="Q106" s="715">
        <f t="shared" si="5"/>
        <v>0</v>
      </c>
      <c r="R106" s="573">
        <f t="shared" si="4"/>
        <v>0</v>
      </c>
    </row>
    <row r="107" spans="1:18" x14ac:dyDescent="0.25">
      <c r="A107" s="559">
        <v>36</v>
      </c>
      <c r="B107" s="560">
        <v>4050</v>
      </c>
      <c r="C107" s="559" t="s">
        <v>216</v>
      </c>
      <c r="D107" s="561">
        <v>6599446.6700000018</v>
      </c>
      <c r="E107" s="595"/>
      <c r="F107" s="595"/>
      <c r="G107" s="595"/>
      <c r="H107" s="595"/>
      <c r="I107" s="718"/>
      <c r="J107" s="718"/>
      <c r="K107" s="596"/>
      <c r="L107" s="597"/>
      <c r="M107" s="597"/>
      <c r="N107" s="597"/>
      <c r="O107" s="593"/>
      <c r="Q107" s="715">
        <f t="shared" si="5"/>
        <v>0</v>
      </c>
      <c r="R107" s="573">
        <f t="shared" si="4"/>
        <v>0</v>
      </c>
    </row>
    <row r="108" spans="1:18" x14ac:dyDescent="0.25">
      <c r="A108" s="559">
        <v>37</v>
      </c>
      <c r="B108" s="560">
        <v>4051</v>
      </c>
      <c r="C108" s="559" t="s">
        <v>214</v>
      </c>
      <c r="D108" s="561">
        <v>7242244.5699999994</v>
      </c>
      <c r="E108" s="595"/>
      <c r="F108" s="595"/>
      <c r="G108" s="595"/>
      <c r="H108" s="595"/>
      <c r="I108" s="718"/>
      <c r="J108" s="718"/>
      <c r="K108" s="596"/>
      <c r="L108" s="597"/>
      <c r="M108" s="597"/>
      <c r="N108" s="597"/>
      <c r="O108" s="593"/>
      <c r="Q108" s="715">
        <f t="shared" si="5"/>
        <v>0</v>
      </c>
      <c r="R108" s="573">
        <f t="shared" si="4"/>
        <v>0</v>
      </c>
    </row>
    <row r="109" spans="1:18" x14ac:dyDescent="0.25">
      <c r="A109" s="559">
        <v>38</v>
      </c>
      <c r="B109" s="560">
        <v>4061</v>
      </c>
      <c r="C109" s="559" t="s">
        <v>366</v>
      </c>
      <c r="D109" s="561">
        <v>8255108.2299999995</v>
      </c>
      <c r="E109" s="595"/>
      <c r="F109" s="595"/>
      <c r="G109" s="595"/>
      <c r="H109" s="595"/>
      <c r="I109" s="718"/>
      <c r="J109" s="718"/>
      <c r="K109" s="596"/>
      <c r="L109" s="597"/>
      <c r="M109" s="597"/>
      <c r="N109" s="597"/>
      <c r="O109" s="593"/>
      <c r="Q109" s="715">
        <f t="shared" si="5"/>
        <v>0</v>
      </c>
      <c r="R109" s="573">
        <f t="shared" si="4"/>
        <v>0</v>
      </c>
    </row>
    <row r="110" spans="1:18" x14ac:dyDescent="0.25">
      <c r="A110" s="559">
        <v>39</v>
      </c>
      <c r="B110" s="560">
        <v>4080</v>
      </c>
      <c r="C110" s="559" t="s">
        <v>237</v>
      </c>
      <c r="D110" s="561">
        <v>2306384.2200000002</v>
      </c>
      <c r="E110" s="595"/>
      <c r="F110" s="595"/>
      <c r="G110" s="595"/>
      <c r="H110" s="595"/>
      <c r="I110" s="718"/>
      <c r="J110" s="718"/>
      <c r="K110" s="596"/>
      <c r="L110" s="597"/>
      <c r="M110" s="597"/>
      <c r="N110" s="597"/>
      <c r="O110" s="593"/>
      <c r="Q110" s="715">
        <f t="shared" si="5"/>
        <v>0</v>
      </c>
      <c r="R110" s="573">
        <f t="shared" si="4"/>
        <v>0</v>
      </c>
    </row>
    <row r="111" spans="1:18" x14ac:dyDescent="0.25">
      <c r="A111" s="559">
        <v>40</v>
      </c>
      <c r="B111" s="560">
        <v>4081</v>
      </c>
      <c r="C111" s="559" t="s">
        <v>234</v>
      </c>
      <c r="D111" s="561">
        <v>972278.55999999994</v>
      </c>
      <c r="E111" s="595"/>
      <c r="F111" s="595"/>
      <c r="G111" s="595"/>
      <c r="H111" s="595"/>
      <c r="I111" s="718"/>
      <c r="J111" s="718"/>
      <c r="K111" s="596"/>
      <c r="L111" s="597"/>
      <c r="M111" s="597"/>
      <c r="N111" s="597"/>
      <c r="O111" s="593"/>
      <c r="Q111" s="715">
        <f t="shared" si="5"/>
        <v>0</v>
      </c>
      <c r="R111" s="573">
        <f t="shared" si="4"/>
        <v>0</v>
      </c>
    </row>
    <row r="112" spans="1:18" x14ac:dyDescent="0.25">
      <c r="A112" s="559">
        <v>41</v>
      </c>
      <c r="B112" s="560">
        <v>4090</v>
      </c>
      <c r="C112" s="559" t="s">
        <v>297</v>
      </c>
      <c r="D112" s="561">
        <v>2702619.96</v>
      </c>
      <c r="E112" s="595"/>
      <c r="F112" s="595"/>
      <c r="G112" s="595"/>
      <c r="H112" s="595"/>
      <c r="I112" s="718"/>
      <c r="J112" s="718"/>
      <c r="K112" s="596"/>
      <c r="L112" s="597"/>
      <c r="M112" s="597"/>
      <c r="N112" s="597"/>
      <c r="O112" s="593"/>
      <c r="Q112" s="715">
        <f t="shared" si="5"/>
        <v>0</v>
      </c>
      <c r="R112" s="573">
        <f t="shared" si="4"/>
        <v>0</v>
      </c>
    </row>
    <row r="113" spans="1:18" x14ac:dyDescent="0.25">
      <c r="A113" s="559">
        <v>42</v>
      </c>
      <c r="B113" s="560">
        <v>4091</v>
      </c>
      <c r="C113" s="559" t="s">
        <v>275</v>
      </c>
      <c r="D113" s="561">
        <v>3606721.18</v>
      </c>
      <c r="E113" s="595"/>
      <c r="F113" s="595"/>
      <c r="G113" s="595"/>
      <c r="H113" s="595"/>
      <c r="I113" s="718"/>
      <c r="J113" s="718"/>
      <c r="K113" s="596"/>
      <c r="L113" s="597"/>
      <c r="M113" s="597"/>
      <c r="N113" s="597"/>
      <c r="O113" s="593"/>
      <c r="Q113" s="715">
        <f t="shared" si="5"/>
        <v>0</v>
      </c>
      <c r="R113" s="573">
        <f t="shared" si="4"/>
        <v>0</v>
      </c>
    </row>
    <row r="114" spans="1:18" x14ac:dyDescent="0.25">
      <c r="A114" s="559">
        <v>43</v>
      </c>
      <c r="B114" s="560">
        <v>4100</v>
      </c>
      <c r="C114" s="559" t="s">
        <v>298</v>
      </c>
      <c r="D114" s="561">
        <v>3224376.77</v>
      </c>
      <c r="E114" s="595"/>
      <c r="F114" s="595"/>
      <c r="G114" s="595"/>
      <c r="H114" s="595"/>
      <c r="I114" s="718"/>
      <c r="J114" s="718"/>
      <c r="K114" s="596"/>
      <c r="L114" s="597"/>
      <c r="M114" s="597"/>
      <c r="N114" s="597"/>
      <c r="O114" s="593"/>
      <c r="Q114" s="715">
        <f t="shared" si="5"/>
        <v>0</v>
      </c>
      <c r="R114" s="573">
        <f t="shared" si="4"/>
        <v>0</v>
      </c>
    </row>
    <row r="115" spans="1:18" x14ac:dyDescent="0.25">
      <c r="A115" s="559">
        <v>44</v>
      </c>
      <c r="B115" s="560">
        <v>4102</v>
      </c>
      <c r="C115" s="559" t="s">
        <v>299</v>
      </c>
      <c r="D115" s="561">
        <v>1010597.4900000001</v>
      </c>
      <c r="E115" s="595">
        <v>0</v>
      </c>
      <c r="F115" s="595">
        <v>0</v>
      </c>
      <c r="G115" s="595">
        <v>0</v>
      </c>
      <c r="H115" s="595">
        <v>0</v>
      </c>
      <c r="I115" s="718">
        <v>0</v>
      </c>
      <c r="J115" s="718">
        <v>0</v>
      </c>
      <c r="K115" s="596">
        <v>0</v>
      </c>
      <c r="L115" s="597">
        <v>0</v>
      </c>
      <c r="M115" s="597"/>
      <c r="N115" s="597"/>
      <c r="O115" s="593">
        <v>0</v>
      </c>
      <c r="P115" s="593">
        <v>0</v>
      </c>
      <c r="Q115" s="573"/>
      <c r="R115" s="573">
        <f t="shared" si="4"/>
        <v>0</v>
      </c>
    </row>
    <row r="116" spans="1:18" x14ac:dyDescent="0.25">
      <c r="A116" s="559">
        <v>45</v>
      </c>
      <c r="B116" s="560">
        <v>4103</v>
      </c>
      <c r="C116" s="559" t="s">
        <v>324</v>
      </c>
      <c r="D116" s="561">
        <v>8473244.9000000022</v>
      </c>
      <c r="E116" s="595"/>
      <c r="F116" s="595"/>
      <c r="G116" s="595"/>
      <c r="H116" s="595"/>
      <c r="I116" s="718"/>
      <c r="J116" s="718"/>
      <c r="K116" s="596"/>
      <c r="L116" s="597"/>
      <c r="M116" s="597"/>
      <c r="N116" s="597"/>
      <c r="O116" s="593"/>
      <c r="Q116" s="562">
        <f t="shared" ref="Q116:Q118" si="6">SUM(E116:P116)</f>
        <v>0</v>
      </c>
      <c r="R116" s="573">
        <f t="shared" ref="R116:R118" si="7">SUM(E116:P116)</f>
        <v>0</v>
      </c>
    </row>
    <row r="117" spans="1:18" x14ac:dyDescent="0.25">
      <c r="A117" s="559">
        <v>46</v>
      </c>
      <c r="B117" s="560">
        <v>4111</v>
      </c>
      <c r="C117" s="559" t="s">
        <v>355</v>
      </c>
      <c r="D117" s="561">
        <v>2433286.09</v>
      </c>
      <c r="E117" s="595"/>
      <c r="F117" s="595"/>
      <c r="G117" s="595"/>
      <c r="H117" s="595"/>
      <c r="I117" s="718"/>
      <c r="J117" s="718"/>
      <c r="K117" s="596"/>
      <c r="L117" s="597"/>
      <c r="M117" s="597"/>
      <c r="N117" s="597"/>
      <c r="O117" s="593"/>
      <c r="Q117" s="562">
        <f t="shared" si="6"/>
        <v>0</v>
      </c>
      <c r="R117" s="573">
        <f t="shared" si="7"/>
        <v>0</v>
      </c>
    </row>
    <row r="118" spans="1:18" x14ac:dyDescent="0.25">
      <c r="A118" s="559">
        <v>47</v>
      </c>
      <c r="B118" s="560">
        <v>4131</v>
      </c>
      <c r="C118" s="559" t="s">
        <v>412</v>
      </c>
      <c r="D118" s="561">
        <v>533527.24000000011</v>
      </c>
      <c r="E118" s="595"/>
      <c r="F118" s="595"/>
      <c r="G118" s="595"/>
      <c r="H118" s="595"/>
      <c r="I118" s="718"/>
      <c r="J118" s="718"/>
      <c r="K118" s="596"/>
      <c r="L118" s="597"/>
      <c r="M118" s="597"/>
      <c r="N118" s="597"/>
      <c r="O118" s="593"/>
      <c r="Q118" s="562">
        <f t="shared" si="6"/>
        <v>0</v>
      </c>
      <c r="R118" s="573">
        <f t="shared" si="7"/>
        <v>0</v>
      </c>
    </row>
    <row r="120" spans="1:18" x14ac:dyDescent="0.25">
      <c r="D120" s="561">
        <f>SUM(D72:D119)</f>
        <v>205901433.20000005</v>
      </c>
      <c r="E120" s="561">
        <f t="shared" ref="E120:K120" si="8">SUM(E72:E119)</f>
        <v>0</v>
      </c>
      <c r="F120" s="561">
        <f t="shared" si="8"/>
        <v>0</v>
      </c>
      <c r="G120" s="561">
        <f t="shared" si="8"/>
        <v>0</v>
      </c>
      <c r="H120" s="561">
        <f>SUM(H70:H119)</f>
        <v>0</v>
      </c>
      <c r="I120" s="561">
        <f>SUM(I70:I119)</f>
        <v>0</v>
      </c>
      <c r="J120" s="561">
        <f t="shared" si="8"/>
        <v>0</v>
      </c>
      <c r="K120" s="574">
        <f t="shared" si="8"/>
        <v>0</v>
      </c>
      <c r="L120" s="561">
        <f>SUM(L70:L119)</f>
        <v>0</v>
      </c>
      <c r="M120" s="561">
        <f>SUM(M70:M119)</f>
        <v>0</v>
      </c>
      <c r="N120" s="561">
        <f>SUM(N70:N119)</f>
        <v>0</v>
      </c>
      <c r="O120" s="561">
        <f t="shared" ref="O120:P120" si="9">SUM(O70:O119)</f>
        <v>0</v>
      </c>
      <c r="P120" s="726">
        <f t="shared" si="9"/>
        <v>0</v>
      </c>
      <c r="Q120" s="561">
        <f>SUM(Q70:Q119)</f>
        <v>0</v>
      </c>
      <c r="R120" s="561">
        <f>SUM(R70:R119)</f>
        <v>0</v>
      </c>
    </row>
    <row r="122" spans="1:18" x14ac:dyDescent="0.25">
      <c r="E122" s="561">
        <f>E55-E120</f>
        <v>16810990.143999994</v>
      </c>
    </row>
    <row r="123" spans="1:18" x14ac:dyDescent="0.25">
      <c r="E123" s="563"/>
    </row>
  </sheetData>
  <pageMargins left="0.7" right="0.7" top="0.75" bottom="0.75" header="0.3" footer="0.3"/>
  <pageSetup scale="35" fitToHeight="0" orientation="landscape" r:id="rId1"/>
  <ignoredErrors>
    <ignoredError sqref="Q116:Q118 Q6:Q5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sheetPr>
  <dimension ref="A1:V246"/>
  <sheetViews>
    <sheetView topLeftCell="A116" workbookViewId="0">
      <selection activeCell="I146" sqref="I146"/>
    </sheetView>
  </sheetViews>
  <sheetFormatPr defaultColWidth="9.140625" defaultRowHeight="15.75" x14ac:dyDescent="0.25"/>
  <cols>
    <col min="1" max="1" width="10.28515625" style="658"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58"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76" t="s">
        <v>15</v>
      </c>
      <c r="C1" s="777"/>
      <c r="D1" s="777"/>
      <c r="E1" s="777"/>
      <c r="F1" s="777"/>
      <c r="G1" s="777"/>
      <c r="H1" s="777"/>
      <c r="I1" s="777"/>
      <c r="J1" s="135"/>
      <c r="K1" s="135"/>
      <c r="L1" s="135"/>
      <c r="N1" s="82">
        <f>A1</f>
        <v>50</v>
      </c>
      <c r="O1" s="810" t="s">
        <v>15</v>
      </c>
      <c r="P1" s="811"/>
      <c r="Q1" s="811"/>
      <c r="R1" s="811"/>
      <c r="S1" s="811"/>
      <c r="T1" s="811"/>
      <c r="U1" s="811"/>
    </row>
    <row r="2" spans="1:21" ht="21" x14ac:dyDescent="0.35">
      <c r="A2" s="1" t="s">
        <v>586</v>
      </c>
      <c r="B2" s="2"/>
      <c r="C2" s="2"/>
      <c r="D2" s="2"/>
      <c r="E2" s="2"/>
      <c r="F2" s="2"/>
      <c r="G2" s="2"/>
      <c r="H2" s="2"/>
      <c r="I2" s="2"/>
      <c r="N2" s="812" t="s">
        <v>18</v>
      </c>
      <c r="O2" s="812"/>
      <c r="P2" s="812"/>
      <c r="Q2" s="812"/>
      <c r="R2" s="812"/>
      <c r="S2" s="812"/>
      <c r="T2" s="812"/>
      <c r="U2" s="812"/>
    </row>
    <row r="3" spans="1:21" x14ac:dyDescent="0.25">
      <c r="A3" s="253"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672"/>
      <c r="O5" s="672"/>
      <c r="P5" s="673"/>
      <c r="Q5" s="673"/>
      <c r="R5" s="5"/>
      <c r="S5" s="5"/>
      <c r="T5" s="5"/>
      <c r="U5" s="5"/>
    </row>
    <row r="6" spans="1:21" ht="12" customHeight="1" x14ac:dyDescent="0.25">
      <c r="A6" s="674"/>
      <c r="B6" s="674"/>
      <c r="C6" s="667"/>
      <c r="D6" s="667"/>
      <c r="E6" s="667"/>
      <c r="F6" s="4"/>
      <c r="G6" s="4"/>
      <c r="H6" s="4"/>
      <c r="I6" s="4"/>
      <c r="N6" s="672"/>
      <c r="O6" s="672"/>
      <c r="P6" s="673"/>
      <c r="Q6" s="673"/>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v>5330.98</v>
      </c>
      <c r="D8" s="86"/>
      <c r="E8" s="87"/>
      <c r="F8" s="84"/>
      <c r="G8" s="85" t="s">
        <v>455</v>
      </c>
      <c r="H8" s="286">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v>1</v>
      </c>
      <c r="I9" s="75"/>
      <c r="N9" s="675"/>
      <c r="O9" s="675"/>
      <c r="P9" s="676"/>
      <c r="Q9" s="676"/>
      <c r="R9" s="679" t="s">
        <v>454</v>
      </c>
      <c r="S9" s="679"/>
      <c r="T9" s="816">
        <f>H9</f>
        <v>1</v>
      </c>
      <c r="U9" s="816"/>
    </row>
    <row r="10" spans="1:21" x14ac:dyDescent="0.25">
      <c r="A10" s="7"/>
      <c r="B10" s="7" t="s">
        <v>328</v>
      </c>
      <c r="C10" s="8" t="s">
        <v>328</v>
      </c>
      <c r="D10" s="8" t="s">
        <v>328</v>
      </c>
      <c r="E10" s="8"/>
      <c r="F10" s="9"/>
      <c r="G10" s="9"/>
      <c r="H10" s="10"/>
      <c r="I10" s="341" t="s">
        <v>574</v>
      </c>
      <c r="N10" s="675"/>
      <c r="O10" s="675"/>
      <c r="P10" s="676"/>
      <c r="Q10" s="676"/>
      <c r="R10" s="14"/>
      <c r="S10" s="14"/>
      <c r="T10" s="15"/>
      <c r="U10" s="410" t="str">
        <f>I10</f>
        <v>2024-25</v>
      </c>
    </row>
    <row r="11" spans="1:21" x14ac:dyDescent="0.25">
      <c r="A11" s="7"/>
      <c r="B11" s="7"/>
      <c r="C11" s="88" t="s">
        <v>581</v>
      </c>
      <c r="D11" s="349" t="s">
        <v>582</v>
      </c>
      <c r="E11" s="89" t="s">
        <v>8</v>
      </c>
      <c r="F11" s="781" t="s">
        <v>1</v>
      </c>
      <c r="G11" s="781"/>
      <c r="H11" s="10" t="s">
        <v>60</v>
      </c>
      <c r="I11" s="11" t="s">
        <v>27</v>
      </c>
      <c r="N11" s="675"/>
      <c r="O11" s="675"/>
      <c r="P11" s="676"/>
      <c r="Q11" s="676"/>
      <c r="R11" s="817" t="s">
        <v>1</v>
      </c>
      <c r="S11" s="817"/>
      <c r="T11" s="15" t="s">
        <v>60</v>
      </c>
      <c r="U11" s="16" t="s">
        <v>27</v>
      </c>
    </row>
    <row r="12" spans="1:21" ht="15.75" customHeight="1" x14ac:dyDescent="0.25">
      <c r="A12" s="36" t="s">
        <v>1</v>
      </c>
      <c r="B12" s="36"/>
      <c r="C12" s="340" t="s">
        <v>2</v>
      </c>
      <c r="D12" s="340" t="s">
        <v>2</v>
      </c>
      <c r="E12" s="9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668"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c r="D14" s="141">
        <v>0</v>
      </c>
      <c r="E14" s="187">
        <f>IF(D$30=0,C14*2,C14+D14)</f>
        <v>0</v>
      </c>
      <c r="F14" s="829">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c r="D15" s="143">
        <v>0</v>
      </c>
      <c r="E15" s="116">
        <f t="shared" ref="E15:E29" si="1">IF(D$30=0,C15*2,C15+D15)</f>
        <v>0</v>
      </c>
      <c r="F15" s="833">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10.5</v>
      </c>
      <c r="D16" s="143">
        <v>0</v>
      </c>
      <c r="E16" s="116">
        <f t="shared" si="1"/>
        <v>21</v>
      </c>
      <c r="F16" s="833">
        <v>1</v>
      </c>
      <c r="G16" s="833"/>
      <c r="H16" s="80">
        <f t="shared" si="2"/>
        <v>21</v>
      </c>
      <c r="I16" s="101">
        <f>ROUND(ROUND(ROUND(H16*$C$8,4)*($H$8),2)*(MAX($H$9,1)),2)</f>
        <v>116518.16</v>
      </c>
      <c r="K16" s="236"/>
      <c r="N16" s="834" t="s">
        <v>22</v>
      </c>
      <c r="O16" s="834"/>
      <c r="P16" s="831">
        <f t="shared" si="0"/>
        <v>0</v>
      </c>
      <c r="Q16" s="831"/>
      <c r="R16" s="835">
        <v>1</v>
      </c>
      <c r="S16" s="835"/>
      <c r="T16" s="95">
        <f t="shared" si="4"/>
        <v>0</v>
      </c>
      <c r="U16" s="524">
        <f t="shared" si="5"/>
        <v>0</v>
      </c>
    </row>
    <row r="17" spans="1:21" x14ac:dyDescent="0.25">
      <c r="A17" s="788" t="s">
        <v>23</v>
      </c>
      <c r="B17" s="788"/>
      <c r="C17" s="143">
        <v>5</v>
      </c>
      <c r="D17" s="143">
        <v>0</v>
      </c>
      <c r="E17" s="116">
        <f t="shared" si="1"/>
        <v>10</v>
      </c>
      <c r="F17" s="833">
        <v>1</v>
      </c>
      <c r="G17" s="833"/>
      <c r="H17" s="80">
        <f t="shared" si="2"/>
        <v>10</v>
      </c>
      <c r="I17" s="101">
        <f t="shared" si="3"/>
        <v>55484.84</v>
      </c>
      <c r="J17" s="65" t="str">
        <f>IF(ROUND(E17,2)=ROUND(SUM(E60:E62),2)," ","CHECK 4-8 LINES BELOW")</f>
        <v xml:space="preserve"> </v>
      </c>
      <c r="K17" s="236"/>
      <c r="N17" s="834" t="s">
        <v>23</v>
      </c>
      <c r="O17" s="834"/>
      <c r="P17" s="831">
        <f t="shared" si="0"/>
        <v>0</v>
      </c>
      <c r="Q17" s="831"/>
      <c r="R17" s="835">
        <v>1</v>
      </c>
      <c r="S17" s="835"/>
      <c r="T17" s="95">
        <f t="shared" si="4"/>
        <v>0</v>
      </c>
      <c r="U17" s="524">
        <f t="shared" si="5"/>
        <v>0</v>
      </c>
    </row>
    <row r="18" spans="1:21" x14ac:dyDescent="0.25">
      <c r="A18" s="788" t="s">
        <v>24</v>
      </c>
      <c r="B18" s="788"/>
      <c r="C18" s="143"/>
      <c r="D18" s="143">
        <v>0</v>
      </c>
      <c r="E18" s="116">
        <f>IF(D$30=0,C18*2,C18+D18)</f>
        <v>0</v>
      </c>
      <c r="F18" s="833">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c r="D19" s="143">
        <v>0</v>
      </c>
      <c r="E19" s="116">
        <f t="shared" si="1"/>
        <v>0</v>
      </c>
      <c r="F19" s="833">
        <v>0.97799999999999998</v>
      </c>
      <c r="G19" s="833"/>
      <c r="H19" s="80">
        <f>ROUND(E19*F19,4)</f>
        <v>0</v>
      </c>
      <c r="I19" s="101">
        <f>ROUND(ROUND(ROUND(H19*$C$8,4)*($H$8),2)*(MAX($H$9,1)),2)</f>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c r="D20" s="143">
        <v>0</v>
      </c>
      <c r="E20" s="116">
        <f t="shared" si="1"/>
        <v>0</v>
      </c>
      <c r="F20" s="833">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c r="D21" s="143">
        <v>0</v>
      </c>
      <c r="E21" s="116">
        <f t="shared" si="1"/>
        <v>0</v>
      </c>
      <c r="F21" s="833">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c r="D22" s="143"/>
      <c r="E22" s="116">
        <f t="shared" si="1"/>
        <v>0</v>
      </c>
      <c r="F22" s="833">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c r="D23" s="143">
        <v>0</v>
      </c>
      <c r="E23" s="116">
        <f t="shared" si="1"/>
        <v>0</v>
      </c>
      <c r="F23" s="833">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c r="D24" s="143">
        <v>0</v>
      </c>
      <c r="E24" s="116">
        <f t="shared" si="1"/>
        <v>0</v>
      </c>
      <c r="F24" s="833">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c r="D25" s="143"/>
      <c r="E25" s="116">
        <f t="shared" si="1"/>
        <v>0</v>
      </c>
      <c r="F25" s="833">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c r="D26" s="143">
        <v>0</v>
      </c>
      <c r="E26" s="116">
        <f t="shared" si="1"/>
        <v>0</v>
      </c>
      <c r="F26" s="833">
        <v>1.1919999999999999</v>
      </c>
      <c r="G26" s="833"/>
      <c r="H26" s="80">
        <f t="shared" si="2"/>
        <v>0</v>
      </c>
      <c r="I26" s="101">
        <f t="shared" si="3"/>
        <v>0</v>
      </c>
      <c r="L26" s="250"/>
      <c r="N26" s="834" t="s">
        <v>85</v>
      </c>
      <c r="O26" s="834"/>
      <c r="P26" s="831">
        <f t="shared" si="0"/>
        <v>0</v>
      </c>
      <c r="Q26" s="831"/>
      <c r="R26" s="835">
        <v>1</v>
      </c>
      <c r="S26" s="835"/>
      <c r="T26" s="95">
        <f t="shared" si="4"/>
        <v>0</v>
      </c>
      <c r="U26" s="524">
        <f t="shared" si="5"/>
        <v>0</v>
      </c>
    </row>
    <row r="27" spans="1:21" x14ac:dyDescent="0.25">
      <c r="A27" s="788" t="s">
        <v>86</v>
      </c>
      <c r="B27" s="788"/>
      <c r="C27" s="143">
        <v>2.5</v>
      </c>
      <c r="D27" s="143">
        <v>0</v>
      </c>
      <c r="E27" s="116">
        <f t="shared" si="1"/>
        <v>5</v>
      </c>
      <c r="F27" s="833">
        <v>1.1919999999999999</v>
      </c>
      <c r="G27" s="833"/>
      <c r="H27" s="80">
        <f t="shared" si="2"/>
        <v>5.96</v>
      </c>
      <c r="I27" s="101">
        <f t="shared" si="3"/>
        <v>33068.959999999999</v>
      </c>
      <c r="L27" s="250"/>
      <c r="N27" s="834" t="s">
        <v>86</v>
      </c>
      <c r="O27" s="834"/>
      <c r="P27" s="831">
        <f t="shared" si="0"/>
        <v>0</v>
      </c>
      <c r="Q27" s="831"/>
      <c r="R27" s="835">
        <v>1</v>
      </c>
      <c r="S27" s="835"/>
      <c r="T27" s="95">
        <f t="shared" si="4"/>
        <v>0</v>
      </c>
      <c r="U27" s="524">
        <f t="shared" si="5"/>
        <v>0</v>
      </c>
    </row>
    <row r="28" spans="1:21" x14ac:dyDescent="0.25">
      <c r="A28" s="788" t="s">
        <v>87</v>
      </c>
      <c r="B28" s="788"/>
      <c r="C28" s="143"/>
      <c r="D28" s="143">
        <v>0</v>
      </c>
      <c r="E28" s="116">
        <f t="shared" si="1"/>
        <v>0</v>
      </c>
      <c r="F28" s="833">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c r="D29" s="110">
        <v>0</v>
      </c>
      <c r="E29" s="154">
        <f t="shared" si="1"/>
        <v>0</v>
      </c>
      <c r="F29" s="833">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18</v>
      </c>
      <c r="D30" s="94">
        <f>SUM(D14:D29)</f>
        <v>0</v>
      </c>
      <c r="E30" s="94">
        <f>SUM(E14:E29)</f>
        <v>36</v>
      </c>
      <c r="F30" s="792"/>
      <c r="G30" s="792"/>
      <c r="H30" s="99">
        <f>SUM(H14:H29)</f>
        <v>36.96</v>
      </c>
      <c r="I30" s="94">
        <f>SUM(I14:I29)</f>
        <v>205071.96</v>
      </c>
      <c r="N30" s="838" t="s">
        <v>5</v>
      </c>
      <c r="O30" s="838"/>
      <c r="P30" s="839">
        <f>SUM(P14:P29)</f>
        <v>0</v>
      </c>
      <c r="Q30" s="839"/>
      <c r="R30" s="840"/>
      <c r="S30" s="840"/>
      <c r="T30" s="100">
        <f>SUM(T14:T29)</f>
        <v>0</v>
      </c>
      <c r="U30" s="524">
        <f>SUM(U14:U29)</f>
        <v>0</v>
      </c>
    </row>
    <row r="31" spans="1:21" x14ac:dyDescent="0.25">
      <c r="A31" s="660"/>
      <c r="B31" s="660"/>
      <c r="C31" s="101"/>
      <c r="D31" s="101"/>
      <c r="E31" s="101"/>
      <c r="F31" s="665"/>
      <c r="G31" s="665"/>
      <c r="H31" s="80"/>
      <c r="I31" s="101"/>
      <c r="N31" s="687"/>
      <c r="O31" s="687"/>
      <c r="P31" s="29"/>
      <c r="Q31" s="29"/>
      <c r="R31" s="680"/>
      <c r="S31" s="680"/>
      <c r="T31" s="102"/>
      <c r="U31" s="103"/>
    </row>
    <row r="32" spans="1:21" hidden="1" x14ac:dyDescent="0.25">
      <c r="A32" s="281" t="s">
        <v>251</v>
      </c>
      <c r="B32" s="660"/>
      <c r="C32" s="101"/>
      <c r="D32" s="101"/>
      <c r="E32" s="101"/>
      <c r="F32" s="665"/>
      <c r="G32" s="665"/>
      <c r="H32" s="80"/>
      <c r="I32" s="101"/>
      <c r="N32" s="687"/>
      <c r="O32" s="687"/>
      <c r="P32" s="29"/>
      <c r="Q32" s="29"/>
      <c r="R32" s="680"/>
      <c r="S32" s="680"/>
      <c r="T32" s="102"/>
      <c r="U32" s="103"/>
    </row>
    <row r="33" spans="1:21" hidden="1" x14ac:dyDescent="0.25">
      <c r="A33" s="146"/>
      <c r="B33" s="660"/>
      <c r="C33" s="101"/>
      <c r="D33" s="101"/>
      <c r="E33" s="101"/>
      <c r="F33" s="665"/>
      <c r="G33" s="665"/>
      <c r="H33" s="80"/>
      <c r="I33" s="101"/>
      <c r="N33" s="687"/>
      <c r="O33" s="687"/>
      <c r="P33" s="29"/>
      <c r="Q33" s="29"/>
      <c r="R33" s="680"/>
      <c r="S33" s="680"/>
      <c r="T33" s="102"/>
      <c r="U33" s="103"/>
    </row>
    <row r="34" spans="1:21" hidden="1" x14ac:dyDescent="0.25">
      <c r="A34" s="146"/>
      <c r="B34" s="660"/>
      <c r="C34" s="101"/>
      <c r="D34" s="101"/>
      <c r="E34" s="101"/>
      <c r="F34" s="843" t="s">
        <v>232</v>
      </c>
      <c r="G34" s="843"/>
      <c r="H34" s="843"/>
      <c r="I34" s="101"/>
      <c r="N34" s="687"/>
      <c r="O34" s="687"/>
      <c r="P34" s="29"/>
      <c r="Q34" s="29"/>
      <c r="R34" s="680"/>
      <c r="S34" s="680"/>
      <c r="T34" s="102"/>
      <c r="U34" s="103"/>
    </row>
    <row r="35" spans="1:21" ht="15.6" hidden="1" customHeight="1" x14ac:dyDescent="0.25">
      <c r="A35" s="3"/>
      <c r="B35" s="658"/>
      <c r="C35" s="658"/>
      <c r="D35" s="658"/>
      <c r="E35" s="658"/>
      <c r="F35" s="843"/>
      <c r="G35" s="843"/>
      <c r="H35" s="843"/>
      <c r="I35" s="24" t="str">
        <f>I10</f>
        <v>2024-25</v>
      </c>
      <c r="N35" s="813" t="s">
        <v>26</v>
      </c>
      <c r="O35" s="813"/>
      <c r="P35" s="813"/>
      <c r="Q35" s="813"/>
      <c r="R35" s="813"/>
      <c r="S35" s="813"/>
      <c r="T35" s="813"/>
      <c r="U35" s="25" t="str">
        <f>I35</f>
        <v>2024-25</v>
      </c>
    </row>
    <row r="36" spans="1:21" hidden="1" x14ac:dyDescent="0.25">
      <c r="A36" s="660"/>
      <c r="B36" s="660"/>
      <c r="C36" s="88" t="s">
        <v>347</v>
      </c>
      <c r="D36" s="88"/>
      <c r="E36" s="89" t="s">
        <v>8</v>
      </c>
      <c r="F36" s="843"/>
      <c r="G36" s="843"/>
      <c r="H36" s="843"/>
      <c r="I36" s="24" t="s">
        <v>27</v>
      </c>
      <c r="N36" s="687"/>
      <c r="O36" s="687"/>
      <c r="P36" s="29"/>
      <c r="Q36" s="29"/>
      <c r="R36" s="680"/>
      <c r="S36" s="680"/>
      <c r="T36" s="102"/>
      <c r="U36" s="25" t="s">
        <v>27</v>
      </c>
    </row>
    <row r="37" spans="1:21" ht="26.25" hidden="1" x14ac:dyDescent="0.25">
      <c r="A37" s="782" t="s">
        <v>50</v>
      </c>
      <c r="B37" s="782"/>
      <c r="C37" s="340" t="s">
        <v>2</v>
      </c>
      <c r="D37" s="340"/>
      <c r="E37" s="90" t="s">
        <v>2</v>
      </c>
      <c r="F37" s="844"/>
      <c r="G37" s="844"/>
      <c r="H37" s="844"/>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687"/>
      <c r="O45" s="687"/>
      <c r="P45" s="687"/>
      <c r="Q45" s="687"/>
      <c r="R45" s="33"/>
      <c r="S45" s="680"/>
      <c r="T45" s="680"/>
      <c r="U45" s="103"/>
    </row>
    <row r="46" spans="1:21" ht="16.5" hidden="1" thickBot="1" x14ac:dyDescent="0.3">
      <c r="A46" s="3"/>
      <c r="B46" s="52" t="s">
        <v>96</v>
      </c>
      <c r="E46" s="152">
        <f>H30+E44</f>
        <v>36.96</v>
      </c>
      <c r="F46" s="34"/>
      <c r="G46" s="106"/>
      <c r="H46" s="107" t="s">
        <v>98</v>
      </c>
      <c r="I46" s="94">
        <f>SUM(I44,I30)</f>
        <v>205071.96</v>
      </c>
      <c r="N46" s="846" t="s">
        <v>44</v>
      </c>
      <c r="O46" s="846"/>
      <c r="P46" s="846"/>
      <c r="Q46" s="846"/>
      <c r="R46" s="35">
        <f>R44+T30</f>
        <v>0</v>
      </c>
      <c r="S46" s="840" t="s">
        <v>42</v>
      </c>
      <c r="T46" s="840"/>
      <c r="U46" s="108">
        <f>SUM(U44,U30)</f>
        <v>0</v>
      </c>
    </row>
    <row r="47" spans="1:21" ht="16.5" hidden="1" thickTop="1" x14ac:dyDescent="0.25">
      <c r="A47" s="660"/>
      <c r="B47" s="660"/>
      <c r="C47" s="660"/>
      <c r="D47" s="660"/>
      <c r="E47" s="660"/>
      <c r="F47" s="34"/>
      <c r="G47" s="665"/>
      <c r="H47" s="665"/>
      <c r="I47" s="101"/>
      <c r="N47" s="687"/>
      <c r="O47" s="687"/>
      <c r="P47" s="687"/>
      <c r="Q47" s="687"/>
      <c r="R47" s="35"/>
      <c r="S47" s="680"/>
      <c r="T47" s="680"/>
      <c r="U47" s="103"/>
    </row>
    <row r="48" spans="1:21" x14ac:dyDescent="0.25">
      <c r="A48" s="657" t="s">
        <v>458</v>
      </c>
      <c r="B48" s="660"/>
      <c r="C48" s="660"/>
      <c r="D48" s="660"/>
      <c r="E48" s="660"/>
      <c r="F48" s="34"/>
      <c r="G48" s="665"/>
      <c r="H48" s="665"/>
      <c r="I48" s="101"/>
      <c r="N48" s="682" t="s">
        <v>458</v>
      </c>
      <c r="O48" s="687"/>
      <c r="P48" s="687"/>
      <c r="Q48" s="687"/>
      <c r="R48" s="35"/>
      <c r="S48" s="680"/>
      <c r="T48" s="68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3" t="s">
        <v>460</v>
      </c>
      <c r="F50" s="444"/>
      <c r="G50" s="445"/>
      <c r="H50" s="445"/>
      <c r="I50" s="446"/>
      <c r="N50" s="464" t="s">
        <v>460</v>
      </c>
      <c r="O50" s="447"/>
      <c r="P50" s="447"/>
      <c r="Q50" s="447"/>
      <c r="R50" s="448"/>
      <c r="S50" s="449"/>
      <c r="T50" s="449"/>
      <c r="U50" s="456"/>
    </row>
    <row r="51" spans="1:22" x14ac:dyDescent="0.25">
      <c r="A51" s="441"/>
      <c r="B51" s="3" t="s">
        <v>577</v>
      </c>
      <c r="C51" s="660"/>
      <c r="D51" s="660"/>
      <c r="E51" s="670" t="s">
        <v>461</v>
      </c>
      <c r="F51" s="452">
        <v>205071.96</v>
      </c>
      <c r="G51" s="109" t="s">
        <v>6</v>
      </c>
      <c r="H51" s="453">
        <v>5.5899999999999998E-2</v>
      </c>
      <c r="I51" s="101">
        <f>ROUND(F51*H51,2)</f>
        <v>11463.52</v>
      </c>
      <c r="N51" s="458"/>
      <c r="O51" s="51" t="s">
        <v>576</v>
      </c>
      <c r="P51" s="687"/>
      <c r="Q51" s="44" t="s">
        <v>461</v>
      </c>
      <c r="R51" s="460">
        <f>U30</f>
        <v>0</v>
      </c>
      <c r="S51" s="461" t="s">
        <v>6</v>
      </c>
      <c r="T51" s="462">
        <v>5.5899999999999998E-2</v>
      </c>
      <c r="U51" s="454">
        <f>ROUND(R51*T51,2)</f>
        <v>0</v>
      </c>
    </row>
    <row r="52" spans="1:22" x14ac:dyDescent="0.25">
      <c r="A52" s="660"/>
      <c r="B52" s="657" t="s">
        <v>580</v>
      </c>
      <c r="C52" s="660"/>
      <c r="D52" s="660"/>
      <c r="E52" s="670" t="s">
        <v>461</v>
      </c>
      <c r="F52" s="452">
        <v>205071.96</v>
      </c>
      <c r="G52" s="109" t="s">
        <v>6</v>
      </c>
      <c r="H52" s="453">
        <v>1.0699999999999999E-2</v>
      </c>
      <c r="I52" s="101">
        <v>0</v>
      </c>
      <c r="N52" s="687"/>
      <c r="O52" s="682" t="s">
        <v>579</v>
      </c>
      <c r="P52" s="687"/>
      <c r="Q52" s="44" t="s">
        <v>461</v>
      </c>
      <c r="R52" s="460">
        <f>U30</f>
        <v>0</v>
      </c>
      <c r="S52" s="461" t="s">
        <v>6</v>
      </c>
      <c r="T52" s="462">
        <v>1.0699999999999999E-2</v>
      </c>
      <c r="U52" s="463">
        <f>ROUND(R52*T52,2)</f>
        <v>0</v>
      </c>
    </row>
    <row r="53" spans="1:22" x14ac:dyDescent="0.25">
      <c r="A53" s="660"/>
      <c r="B53" s="657" t="s">
        <v>462</v>
      </c>
      <c r="C53" s="660"/>
      <c r="D53" s="660"/>
      <c r="E53" s="670"/>
      <c r="F53" s="452"/>
      <c r="G53" s="109"/>
      <c r="H53" s="453"/>
      <c r="I53" s="97">
        <f>SUM(I51:I52)</f>
        <v>11463.52</v>
      </c>
      <c r="N53" s="687"/>
      <c r="O53" s="682" t="s">
        <v>462</v>
      </c>
      <c r="P53" s="687"/>
      <c r="Q53" s="44"/>
      <c r="R53" s="460"/>
      <c r="S53" s="461"/>
      <c r="T53" s="462"/>
      <c r="U53" s="454">
        <f>SUM(U51:U52)</f>
        <v>0</v>
      </c>
    </row>
    <row r="54" spans="1:22" x14ac:dyDescent="0.25">
      <c r="A54" s="241"/>
      <c r="C54" s="663" t="s">
        <v>505</v>
      </c>
      <c r="D54" s="663" t="s">
        <v>505</v>
      </c>
      <c r="G54" s="42"/>
      <c r="H54" s="114"/>
      <c r="I54" s="114"/>
      <c r="N54" s="512"/>
      <c r="O54" s="51"/>
      <c r="P54" s="40" t="s">
        <v>505</v>
      </c>
      <c r="Q54" s="40" t="s">
        <v>505</v>
      </c>
      <c r="R54" s="51"/>
      <c r="S54" s="51"/>
      <c r="T54" s="513"/>
      <c r="U54" s="514"/>
      <c r="V54" s="114"/>
    </row>
    <row r="55" spans="1:22" x14ac:dyDescent="0.25">
      <c r="A55" s="660"/>
      <c r="B55" s="660"/>
      <c r="C55" s="88" t="s">
        <v>581</v>
      </c>
      <c r="D55" s="349" t="s">
        <v>582</v>
      </c>
      <c r="E55" s="89" t="s">
        <v>8</v>
      </c>
      <c r="F55" s="46" t="s">
        <v>499</v>
      </c>
      <c r="G55" s="109" t="s">
        <v>500</v>
      </c>
      <c r="H55" s="505" t="s">
        <v>501</v>
      </c>
      <c r="I55" s="101"/>
      <c r="N55" s="687"/>
      <c r="O55" s="687"/>
      <c r="P55" s="515"/>
      <c r="Q55" s="516"/>
      <c r="R55" s="517"/>
      <c r="S55" s="519" t="s">
        <v>500</v>
      </c>
      <c r="T55" s="520" t="s">
        <v>501</v>
      </c>
      <c r="U55" s="518"/>
      <c r="V55" s="475"/>
    </row>
    <row r="56" spans="1:22" x14ac:dyDescent="0.25">
      <c r="A56" s="36" t="s">
        <v>502</v>
      </c>
      <c r="B56" s="36"/>
      <c r="C56" s="340" t="s">
        <v>2</v>
      </c>
      <c r="D56" s="340" t="s">
        <v>2</v>
      </c>
      <c r="E56" s="90" t="s">
        <v>2</v>
      </c>
      <c r="F56" s="668" t="s">
        <v>503</v>
      </c>
      <c r="G56" s="662" t="s">
        <v>503</v>
      </c>
      <c r="H56" s="506" t="s">
        <v>504</v>
      </c>
      <c r="I56" s="36"/>
      <c r="N56" s="510" t="s">
        <v>502</v>
      </c>
      <c r="O56" s="510"/>
      <c r="P56" s="847" t="s">
        <v>2</v>
      </c>
      <c r="Q56" s="847"/>
      <c r="R56" s="510" t="s">
        <v>508</v>
      </c>
      <c r="S56" s="678" t="s">
        <v>503</v>
      </c>
      <c r="T56" s="521" t="s">
        <v>504</v>
      </c>
      <c r="U56" s="510"/>
      <c r="V56" s="509"/>
    </row>
    <row r="57" spans="1:22" x14ac:dyDescent="0.25">
      <c r="A57" s="798" t="s">
        <v>506</v>
      </c>
      <c r="B57" s="798"/>
      <c r="C57" s="143">
        <v>0</v>
      </c>
      <c r="D57" s="143">
        <v>0</v>
      </c>
      <c r="E57" s="116">
        <f t="shared" ref="E57:E59" si="10">IF(D$72=0,C57*2,C57+D57)</f>
        <v>0</v>
      </c>
      <c r="F57" s="661" t="s">
        <v>498</v>
      </c>
      <c r="G57" s="661">
        <v>251</v>
      </c>
      <c r="H57" s="508">
        <v>1047</v>
      </c>
      <c r="I57" s="101">
        <f>ROUND(E57*H57,2)</f>
        <v>0</v>
      </c>
      <c r="N57" s="848" t="s">
        <v>506</v>
      </c>
      <c r="O57" s="848"/>
      <c r="P57" s="850"/>
      <c r="Q57" s="850"/>
      <c r="R57" s="671" t="s">
        <v>498</v>
      </c>
      <c r="S57" s="671">
        <v>251</v>
      </c>
      <c r="T57" s="511">
        <f>H57</f>
        <v>1047</v>
      </c>
      <c r="U57" s="525">
        <f>ROUND(P57*T57,2)</f>
        <v>0</v>
      </c>
      <c r="V57" s="475"/>
    </row>
    <row r="58" spans="1:22" x14ac:dyDescent="0.25">
      <c r="A58" s="799"/>
      <c r="B58" s="799"/>
      <c r="C58" s="143">
        <v>0</v>
      </c>
      <c r="D58" s="143">
        <v>0</v>
      </c>
      <c r="E58" s="116">
        <f t="shared" si="10"/>
        <v>0</v>
      </c>
      <c r="F58" s="661" t="s">
        <v>498</v>
      </c>
      <c r="G58" s="661">
        <v>252</v>
      </c>
      <c r="H58" s="508">
        <v>3380</v>
      </c>
      <c r="I58" s="101">
        <f t="shared" ref="I58:I65" si="11">ROUND(E58*H58,2)</f>
        <v>0</v>
      </c>
      <c r="N58" s="849"/>
      <c r="O58" s="849"/>
      <c r="P58" s="851"/>
      <c r="Q58" s="851"/>
      <c r="R58" s="671" t="s">
        <v>498</v>
      </c>
      <c r="S58" s="671">
        <v>252</v>
      </c>
      <c r="T58" s="511">
        <f t="shared" ref="T58:T65" si="12">H58</f>
        <v>3380</v>
      </c>
      <c r="U58" s="525">
        <f t="shared" ref="U58:U65" si="13">ROUND(P58*T58,2)</f>
        <v>0</v>
      </c>
      <c r="V58" s="475"/>
    </row>
    <row r="59" spans="1:22" x14ac:dyDescent="0.25">
      <c r="A59" s="799"/>
      <c r="B59" s="799"/>
      <c r="C59" s="143">
        <v>0</v>
      </c>
      <c r="D59" s="143">
        <v>0</v>
      </c>
      <c r="E59" s="116">
        <f t="shared" si="10"/>
        <v>0</v>
      </c>
      <c r="F59" s="661" t="s">
        <v>498</v>
      </c>
      <c r="G59" s="661">
        <v>253</v>
      </c>
      <c r="H59" s="508">
        <v>6896</v>
      </c>
      <c r="I59" s="101">
        <f t="shared" si="11"/>
        <v>0</v>
      </c>
      <c r="N59" s="849"/>
      <c r="O59" s="849"/>
      <c r="P59" s="851"/>
      <c r="Q59" s="851"/>
      <c r="R59" s="671" t="s">
        <v>498</v>
      </c>
      <c r="S59" s="671">
        <v>253</v>
      </c>
      <c r="T59" s="511">
        <f t="shared" si="12"/>
        <v>6896</v>
      </c>
      <c r="U59" s="525">
        <f t="shared" si="13"/>
        <v>0</v>
      </c>
      <c r="V59" s="475"/>
    </row>
    <row r="60" spans="1:22" x14ac:dyDescent="0.25">
      <c r="A60" s="799"/>
      <c r="B60" s="799"/>
      <c r="C60" s="143">
        <v>5</v>
      </c>
      <c r="D60" s="143">
        <v>0</v>
      </c>
      <c r="E60" s="116">
        <f>IF(D$66=0,C60*2,C60+D60)</f>
        <v>10</v>
      </c>
      <c r="F60" s="663" t="s">
        <v>13</v>
      </c>
      <c r="G60" s="661">
        <v>251</v>
      </c>
      <c r="H60" s="508">
        <v>1173</v>
      </c>
      <c r="I60" s="101">
        <f t="shared" si="11"/>
        <v>11730</v>
      </c>
      <c r="N60" s="849"/>
      <c r="O60" s="849"/>
      <c r="P60" s="851"/>
      <c r="Q60" s="851"/>
      <c r="R60" s="40" t="s">
        <v>13</v>
      </c>
      <c r="S60" s="671">
        <v>251</v>
      </c>
      <c r="T60" s="511">
        <f t="shared" si="12"/>
        <v>1173</v>
      </c>
      <c r="U60" s="525">
        <f t="shared" si="13"/>
        <v>0</v>
      </c>
      <c r="V60" s="475"/>
    </row>
    <row r="61" spans="1:22" x14ac:dyDescent="0.25">
      <c r="A61" s="799"/>
      <c r="B61" s="799"/>
      <c r="C61" s="143">
        <v>0</v>
      </c>
      <c r="D61" s="143">
        <v>0</v>
      </c>
      <c r="E61" s="116">
        <f t="shared" ref="E61:E65" si="14">IF(D$66=0,C61*2,C61+D61)</f>
        <v>0</v>
      </c>
      <c r="F61" s="663" t="s">
        <v>13</v>
      </c>
      <c r="G61" s="661">
        <v>252</v>
      </c>
      <c r="H61" s="508">
        <v>3506</v>
      </c>
      <c r="I61" s="101">
        <f t="shared" si="11"/>
        <v>0</v>
      </c>
      <c r="N61" s="849"/>
      <c r="O61" s="849"/>
      <c r="P61" s="851"/>
      <c r="Q61" s="851"/>
      <c r="R61" s="40" t="s">
        <v>13</v>
      </c>
      <c r="S61" s="671">
        <v>252</v>
      </c>
      <c r="T61" s="511">
        <f t="shared" si="12"/>
        <v>3506</v>
      </c>
      <c r="U61" s="525">
        <f t="shared" si="13"/>
        <v>0</v>
      </c>
      <c r="V61" s="475"/>
    </row>
    <row r="62" spans="1:22" x14ac:dyDescent="0.25">
      <c r="A62" s="799"/>
      <c r="B62" s="799"/>
      <c r="C62" s="143">
        <v>0</v>
      </c>
      <c r="D62" s="143">
        <v>0</v>
      </c>
      <c r="E62" s="116">
        <f t="shared" si="14"/>
        <v>0</v>
      </c>
      <c r="F62" s="663" t="s">
        <v>13</v>
      </c>
      <c r="G62" s="661">
        <v>253</v>
      </c>
      <c r="H62" s="508">
        <v>7023</v>
      </c>
      <c r="I62" s="101">
        <f t="shared" si="11"/>
        <v>0</v>
      </c>
      <c r="N62" s="849"/>
      <c r="O62" s="849"/>
      <c r="P62" s="851"/>
      <c r="Q62" s="851"/>
      <c r="R62" s="40" t="s">
        <v>13</v>
      </c>
      <c r="S62" s="671">
        <v>253</v>
      </c>
      <c r="T62" s="511">
        <f t="shared" si="12"/>
        <v>7023</v>
      </c>
      <c r="U62" s="525">
        <f t="shared" si="13"/>
        <v>0</v>
      </c>
      <c r="V62" s="475"/>
    </row>
    <row r="63" spans="1:22" x14ac:dyDescent="0.25">
      <c r="A63" s="799"/>
      <c r="B63" s="799"/>
      <c r="C63" s="143">
        <v>0</v>
      </c>
      <c r="D63" s="143">
        <v>0</v>
      </c>
      <c r="E63" s="116">
        <f t="shared" si="14"/>
        <v>0</v>
      </c>
      <c r="F63" s="663" t="s">
        <v>14</v>
      </c>
      <c r="G63" s="661">
        <v>251</v>
      </c>
      <c r="H63" s="508">
        <v>835</v>
      </c>
      <c r="I63" s="101">
        <f>ROUND(E63*H63,2)</f>
        <v>0</v>
      </c>
      <c r="N63" s="849"/>
      <c r="O63" s="849"/>
      <c r="P63" s="851"/>
      <c r="Q63" s="851"/>
      <c r="R63" s="40" t="s">
        <v>14</v>
      </c>
      <c r="S63" s="671">
        <v>251</v>
      </c>
      <c r="T63" s="511">
        <f t="shared" si="12"/>
        <v>835</v>
      </c>
      <c r="U63" s="525">
        <f t="shared" si="13"/>
        <v>0</v>
      </c>
      <c r="V63" s="475"/>
    </row>
    <row r="64" spans="1:22" x14ac:dyDescent="0.25">
      <c r="A64" s="799"/>
      <c r="B64" s="799"/>
      <c r="C64" s="143">
        <v>0</v>
      </c>
      <c r="D64" s="143">
        <v>0</v>
      </c>
      <c r="E64" s="116">
        <f t="shared" si="14"/>
        <v>0</v>
      </c>
      <c r="F64" s="663" t="s">
        <v>14</v>
      </c>
      <c r="G64" s="661">
        <v>252</v>
      </c>
      <c r="H64" s="508">
        <v>3168</v>
      </c>
      <c r="I64" s="101">
        <f t="shared" si="11"/>
        <v>0</v>
      </c>
      <c r="N64" s="849"/>
      <c r="O64" s="849"/>
      <c r="P64" s="851"/>
      <c r="Q64" s="851"/>
      <c r="R64" s="40" t="s">
        <v>14</v>
      </c>
      <c r="S64" s="671">
        <v>252</v>
      </c>
      <c r="T64" s="511">
        <f t="shared" si="12"/>
        <v>3168</v>
      </c>
      <c r="U64" s="525">
        <f t="shared" si="13"/>
        <v>0</v>
      </c>
      <c r="V64" s="475"/>
    </row>
    <row r="65" spans="1:22" ht="16.5" thickBot="1" x14ac:dyDescent="0.3">
      <c r="A65" s="799"/>
      <c r="B65" s="799"/>
      <c r="C65" s="143">
        <v>0</v>
      </c>
      <c r="D65" s="143">
        <v>0</v>
      </c>
      <c r="E65" s="116">
        <f t="shared" si="14"/>
        <v>0</v>
      </c>
      <c r="F65" s="663" t="s">
        <v>14</v>
      </c>
      <c r="G65" s="661">
        <v>253</v>
      </c>
      <c r="H65" s="508">
        <v>6685</v>
      </c>
      <c r="I65" s="101">
        <f t="shared" si="11"/>
        <v>0</v>
      </c>
      <c r="N65" s="849"/>
      <c r="O65" s="849"/>
      <c r="P65" s="857"/>
      <c r="Q65" s="857"/>
      <c r="R65" s="40" t="s">
        <v>14</v>
      </c>
      <c r="S65" s="671">
        <v>253</v>
      </c>
      <c r="T65" s="511">
        <f t="shared" si="12"/>
        <v>6685</v>
      </c>
      <c r="U65" s="526">
        <f t="shared" si="13"/>
        <v>0</v>
      </c>
      <c r="V65" s="475"/>
    </row>
    <row r="66" spans="1:22" ht="16.5" thickBot="1" x14ac:dyDescent="0.3">
      <c r="A66" s="241"/>
      <c r="C66" s="97">
        <f>SUM(C57:C65)</f>
        <v>5</v>
      </c>
      <c r="D66" s="97">
        <f>SUM(D57:D65)</f>
        <v>0</v>
      </c>
      <c r="E66" s="97">
        <f>SUM(E57:E65)</f>
        <v>10</v>
      </c>
      <c r="F66" s="800" t="s">
        <v>507</v>
      </c>
      <c r="G66" s="800"/>
      <c r="H66" s="800"/>
      <c r="I66" s="97">
        <f>SUM(I57:I65)</f>
        <v>11730</v>
      </c>
      <c r="N66" s="512"/>
      <c r="O66" s="51"/>
      <c r="P66" s="858">
        <f>SUM(P57:P65)</f>
        <v>0</v>
      </c>
      <c r="Q66" s="858"/>
      <c r="R66" s="846" t="s">
        <v>507</v>
      </c>
      <c r="S66" s="846"/>
      <c r="T66" s="846"/>
      <c r="U66" s="527">
        <f>SUM(U57:U65)</f>
        <v>0</v>
      </c>
      <c r="V66" s="475"/>
    </row>
    <row r="67" spans="1:22" x14ac:dyDescent="0.25">
      <c r="A67" s="241"/>
      <c r="C67" s="101"/>
      <c r="D67" s="101"/>
      <c r="E67" s="101"/>
      <c r="F67" s="660"/>
      <c r="G67" s="660"/>
      <c r="H67" s="660"/>
      <c r="I67" s="101"/>
      <c r="N67" s="677"/>
      <c r="O67" s="677"/>
      <c r="P67" s="677"/>
      <c r="Q67" s="677"/>
      <c r="R67" s="677"/>
      <c r="S67" s="677"/>
      <c r="T67" s="681"/>
      <c r="U67" s="681"/>
    </row>
    <row r="68" spans="1:22" x14ac:dyDescent="0.25">
      <c r="A68" s="657" t="s">
        <v>509</v>
      </c>
      <c r="N68" s="682" t="s">
        <v>517</v>
      </c>
      <c r="O68" s="51"/>
      <c r="P68" s="51"/>
      <c r="Q68" s="51"/>
      <c r="R68" s="51"/>
      <c r="S68" s="51"/>
      <c r="T68" s="51"/>
      <c r="U68" s="51"/>
    </row>
    <row r="69" spans="1:22" x14ac:dyDescent="0.25">
      <c r="A69" s="794" t="s">
        <v>463</v>
      </c>
      <c r="B69" s="788"/>
      <c r="C69" s="112">
        <f>E30</f>
        <v>36</v>
      </c>
      <c r="D69" s="775" t="s">
        <v>474</v>
      </c>
      <c r="E69" s="775"/>
      <c r="F69" s="775"/>
      <c r="G69" s="775"/>
      <c r="H69" s="287">
        <v>210935.24</v>
      </c>
      <c r="I69" s="113"/>
      <c r="N69" s="853" t="s">
        <v>467</v>
      </c>
      <c r="O69" s="834"/>
      <c r="P69" s="41">
        <f>P30</f>
        <v>0</v>
      </c>
      <c r="Q69" s="854" t="s">
        <v>469</v>
      </c>
      <c r="R69" s="855"/>
      <c r="S69" s="855"/>
      <c r="T69" s="856">
        <f>H69</f>
        <v>210935.24</v>
      </c>
      <c r="U69" s="856"/>
    </row>
    <row r="70" spans="1:22" x14ac:dyDescent="0.25">
      <c r="B70" s="658"/>
      <c r="G70" s="42" t="s">
        <v>12</v>
      </c>
      <c r="H70" s="114">
        <f>ROUND(C69/H69,6)</f>
        <v>1.7100000000000001E-4</v>
      </c>
      <c r="I70" s="115"/>
      <c r="N70" s="834"/>
      <c r="O70" s="834"/>
      <c r="P70" s="834"/>
      <c r="Q70" s="834"/>
      <c r="R70" s="834"/>
      <c r="S70" s="834"/>
      <c r="T70" s="852">
        <f>ROUND(P69/T69,6)</f>
        <v>0</v>
      </c>
      <c r="U70" s="852"/>
    </row>
    <row r="71" spans="1:22" x14ac:dyDescent="0.25">
      <c r="A71" s="657" t="s">
        <v>510</v>
      </c>
      <c r="N71" s="682" t="s">
        <v>518</v>
      </c>
      <c r="O71" s="51"/>
      <c r="P71" s="51"/>
      <c r="Q71" s="51"/>
      <c r="R71" s="51"/>
      <c r="S71" s="51"/>
      <c r="T71" s="51"/>
      <c r="U71" s="51"/>
    </row>
    <row r="72" spans="1:22" x14ac:dyDescent="0.25">
      <c r="A72" s="794" t="s">
        <v>464</v>
      </c>
      <c r="B72" s="788"/>
      <c r="C72" s="112">
        <f>H30</f>
        <v>36.96</v>
      </c>
      <c r="D72" s="775" t="s">
        <v>475</v>
      </c>
      <c r="E72" s="775"/>
      <c r="F72" s="775"/>
      <c r="G72" s="775"/>
      <c r="H72" s="288">
        <v>237601.62</v>
      </c>
      <c r="I72" s="116"/>
      <c r="N72" s="853" t="s">
        <v>468</v>
      </c>
      <c r="O72" s="834"/>
      <c r="P72" s="41">
        <f>T30</f>
        <v>0</v>
      </c>
      <c r="Q72" s="854" t="s">
        <v>470</v>
      </c>
      <c r="R72" s="855"/>
      <c r="S72" s="855"/>
      <c r="T72" s="856">
        <f>H72</f>
        <v>237601.62</v>
      </c>
      <c r="U72" s="856"/>
    </row>
    <row r="73" spans="1:22" x14ac:dyDescent="0.25">
      <c r="G73" s="42" t="s">
        <v>12</v>
      </c>
      <c r="H73" s="114">
        <f>ROUND(C72/H72,6)</f>
        <v>1.56E-4</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36</v>
      </c>
      <c r="D75" s="767" t="s">
        <v>476</v>
      </c>
      <c r="E75" s="767"/>
      <c r="F75" s="767"/>
      <c r="G75" s="767"/>
      <c r="H75" s="287">
        <v>186826.74</v>
      </c>
      <c r="I75" s="113"/>
      <c r="N75" s="853" t="s">
        <v>466</v>
      </c>
      <c r="O75" s="834"/>
      <c r="P75" s="41">
        <f>P30</f>
        <v>0</v>
      </c>
      <c r="Q75" s="861" t="s">
        <v>471</v>
      </c>
      <c r="R75" s="862"/>
      <c r="S75" s="862"/>
      <c r="T75" s="856">
        <f>H75</f>
        <v>186826.74</v>
      </c>
      <c r="U75" s="856"/>
    </row>
    <row r="76" spans="1:22" x14ac:dyDescent="0.25">
      <c r="B76" s="658"/>
      <c r="G76" s="42" t="s">
        <v>12</v>
      </c>
      <c r="H76" s="114">
        <f>ROUND(C75/H75,6)</f>
        <v>1.93E-4</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36</v>
      </c>
      <c r="D78" s="795" t="s">
        <v>477</v>
      </c>
      <c r="E78" s="795"/>
      <c r="F78" s="795"/>
      <c r="G78" s="795"/>
      <c r="H78" s="287">
        <v>210630.63</v>
      </c>
      <c r="I78" s="113"/>
      <c r="N78" s="853" t="s">
        <v>466</v>
      </c>
      <c r="O78" s="834"/>
      <c r="P78" s="41">
        <f>P30</f>
        <v>0</v>
      </c>
      <c r="Q78" s="859" t="s">
        <v>472</v>
      </c>
      <c r="R78" s="860"/>
      <c r="S78" s="860"/>
      <c r="T78" s="856">
        <f>H78</f>
        <v>210630.63</v>
      </c>
      <c r="U78" s="856"/>
    </row>
    <row r="79" spans="1:22" x14ac:dyDescent="0.25">
      <c r="B79" s="658"/>
      <c r="G79" s="42" t="s">
        <v>12</v>
      </c>
      <c r="H79" s="114">
        <f>ROUND(C78/H78,6)</f>
        <v>1.7100000000000001E-4</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36</v>
      </c>
      <c r="D81" s="767" t="s">
        <v>478</v>
      </c>
      <c r="E81" s="767"/>
      <c r="F81" s="767"/>
      <c r="G81" s="767"/>
      <c r="H81" s="287">
        <v>186522.13</v>
      </c>
      <c r="I81" s="113"/>
      <c r="N81" s="853" t="s">
        <v>479</v>
      </c>
      <c r="O81" s="834"/>
      <c r="P81" s="41">
        <f>P30</f>
        <v>0</v>
      </c>
      <c r="Q81" s="861" t="s">
        <v>480</v>
      </c>
      <c r="R81" s="862"/>
      <c r="S81" s="862"/>
      <c r="T81" s="856">
        <f>H81</f>
        <v>186522.13</v>
      </c>
      <c r="U81" s="856"/>
    </row>
    <row r="82" spans="1:21" x14ac:dyDescent="0.25">
      <c r="B82" s="658"/>
      <c r="G82" s="42" t="s">
        <v>12</v>
      </c>
      <c r="H82" s="114">
        <f>ROUND(C81/H81,6)</f>
        <v>1.93E-4</v>
      </c>
      <c r="I82" s="115"/>
      <c r="N82" s="834"/>
      <c r="O82" s="834"/>
      <c r="P82" s="834"/>
      <c r="Q82" s="834"/>
      <c r="R82" s="834"/>
      <c r="S82" s="834"/>
      <c r="T82" s="852">
        <f>ROUND(P81/T81,6)</f>
        <v>0</v>
      </c>
      <c r="U82" s="852"/>
    </row>
    <row r="83" spans="1:21" x14ac:dyDescent="0.25">
      <c r="A83" s="241"/>
      <c r="G83" s="42"/>
      <c r="H83" s="114"/>
      <c r="I83" s="114"/>
      <c r="N83" s="677"/>
      <c r="O83" s="677"/>
      <c r="P83" s="677"/>
      <c r="Q83" s="677"/>
      <c r="R83" s="677"/>
      <c r="S83" s="677"/>
      <c r="T83" s="681"/>
      <c r="U83" s="681"/>
    </row>
    <row r="84" spans="1:21" x14ac:dyDescent="0.25">
      <c r="A84" s="241"/>
      <c r="G84" s="42"/>
      <c r="H84" s="114"/>
      <c r="I84" s="114"/>
      <c r="N84" s="677"/>
      <c r="O84" s="677"/>
      <c r="P84" s="677"/>
      <c r="Q84" s="677"/>
      <c r="R84" s="677"/>
      <c r="S84" s="677"/>
      <c r="T84" s="681"/>
      <c r="U84" s="681"/>
    </row>
    <row r="85" spans="1:21" x14ac:dyDescent="0.25">
      <c r="A85" s="657" t="s">
        <v>514</v>
      </c>
      <c r="D85" s="658"/>
      <c r="E85" s="670" t="s">
        <v>316</v>
      </c>
      <c r="F85" s="289">
        <v>46301717</v>
      </c>
      <c r="G85" s="661" t="s">
        <v>6</v>
      </c>
      <c r="H85" s="473">
        <f>H79</f>
        <v>1.7100000000000001E-4</v>
      </c>
      <c r="I85" s="101">
        <f>ROUND(F85*H85,2)</f>
        <v>7917.59</v>
      </c>
      <c r="N85" s="682" t="s">
        <v>514</v>
      </c>
      <c r="O85" s="51"/>
      <c r="P85" s="51"/>
      <c r="Q85" s="44"/>
      <c r="R85" s="470">
        <f>F85</f>
        <v>46301717</v>
      </c>
      <c r="S85" s="671" t="s">
        <v>6</v>
      </c>
      <c r="T85" s="472">
        <f>T79</f>
        <v>0</v>
      </c>
      <c r="U85" s="524">
        <f>ROUND(R85*T85,2)</f>
        <v>0</v>
      </c>
    </row>
    <row r="86" spans="1:21" x14ac:dyDescent="0.25">
      <c r="A86" s="451"/>
      <c r="D86" s="658"/>
      <c r="E86" s="670"/>
      <c r="F86" s="275"/>
      <c r="G86" s="661"/>
      <c r="H86" s="473"/>
      <c r="I86" s="101"/>
      <c r="N86" s="51"/>
      <c r="O86" s="51"/>
      <c r="P86" s="51"/>
      <c r="Q86" s="44"/>
      <c r="R86" s="471"/>
      <c r="S86" s="671"/>
      <c r="T86" s="472"/>
      <c r="U86" s="528"/>
    </row>
    <row r="87" spans="1:21" x14ac:dyDescent="0.25">
      <c r="A87" s="797" t="s">
        <v>71</v>
      </c>
      <c r="B87" s="788"/>
      <c r="C87" s="788"/>
      <c r="D87" s="658"/>
      <c r="E87" s="670"/>
      <c r="F87" s="275"/>
      <c r="G87" s="661"/>
      <c r="H87" s="473"/>
      <c r="I87" s="101"/>
      <c r="N87" s="853" t="s">
        <v>522</v>
      </c>
      <c r="O87" s="834"/>
      <c r="P87" s="834"/>
      <c r="Q87" s="51"/>
      <c r="R87" s="471"/>
      <c r="S87" s="51"/>
      <c r="T87" s="671"/>
      <c r="U87" s="529"/>
    </row>
    <row r="88" spans="1:21" x14ac:dyDescent="0.25">
      <c r="A88" s="797" t="s">
        <v>99</v>
      </c>
      <c r="B88" s="788"/>
      <c r="C88" s="788"/>
      <c r="D88" s="658"/>
      <c r="E88" s="670" t="s">
        <v>3</v>
      </c>
      <c r="F88" s="289">
        <v>0</v>
      </c>
      <c r="G88" s="661" t="s">
        <v>6</v>
      </c>
      <c r="H88" s="473">
        <f>H70</f>
        <v>1.7100000000000001E-4</v>
      </c>
      <c r="I88" s="101">
        <f>ROUND(F88*H88,2)</f>
        <v>0</v>
      </c>
      <c r="N88" s="863" t="s">
        <v>99</v>
      </c>
      <c r="O88" s="834"/>
      <c r="P88" s="834"/>
      <c r="Q88" s="44"/>
      <c r="R88" s="470">
        <f>F88</f>
        <v>0</v>
      </c>
      <c r="S88" s="671" t="s">
        <v>6</v>
      </c>
      <c r="T88" s="472">
        <f>T70</f>
        <v>0</v>
      </c>
      <c r="U88" s="524">
        <f>ROUND(R88*T88,2)</f>
        <v>0</v>
      </c>
    </row>
    <row r="89" spans="1:21" x14ac:dyDescent="0.25">
      <c r="A89" s="664"/>
      <c r="B89" s="658"/>
      <c r="C89" s="658"/>
      <c r="D89" s="658"/>
      <c r="E89" s="670"/>
      <c r="F89" s="275"/>
      <c r="G89" s="661"/>
      <c r="H89" s="473"/>
      <c r="I89" s="101"/>
      <c r="N89" s="683"/>
      <c r="O89" s="677"/>
      <c r="P89" s="677"/>
      <c r="Q89" s="44"/>
      <c r="R89" s="470"/>
      <c r="S89" s="671"/>
      <c r="T89" s="472"/>
      <c r="U89" s="524"/>
    </row>
    <row r="90" spans="1:21" x14ac:dyDescent="0.25">
      <c r="A90" s="657" t="s">
        <v>515</v>
      </c>
      <c r="D90" s="658"/>
      <c r="E90" s="670" t="s">
        <v>481</v>
      </c>
      <c r="F90" s="289">
        <v>19125890</v>
      </c>
      <c r="G90" s="661" t="s">
        <v>6</v>
      </c>
      <c r="H90" s="473">
        <f>H82</f>
        <v>1.93E-4</v>
      </c>
      <c r="I90" s="101">
        <f>ROUND(F90*H90,2)</f>
        <v>3691.3</v>
      </c>
      <c r="N90" s="682" t="s">
        <v>515</v>
      </c>
      <c r="O90" s="51"/>
      <c r="P90" s="51"/>
      <c r="Q90" s="44"/>
      <c r="R90" s="470">
        <f>F90</f>
        <v>19125890</v>
      </c>
      <c r="S90" s="671" t="s">
        <v>6</v>
      </c>
      <c r="T90" s="472">
        <f>T82</f>
        <v>0</v>
      </c>
      <c r="U90" s="524">
        <f>ROUND(R90*T90,2)</f>
        <v>0</v>
      </c>
    </row>
    <row r="91" spans="1:21" x14ac:dyDescent="0.25">
      <c r="A91" s="451"/>
      <c r="D91" s="658"/>
      <c r="E91" s="670"/>
      <c r="F91" s="275"/>
      <c r="G91" s="661"/>
      <c r="H91" s="473"/>
      <c r="I91" s="101"/>
      <c r="N91" s="459"/>
      <c r="O91" s="51"/>
      <c r="P91" s="51"/>
      <c r="Q91" s="44"/>
      <c r="R91" s="470"/>
      <c r="S91" s="671"/>
      <c r="T91" s="472"/>
      <c r="U91" s="524"/>
    </row>
    <row r="92" spans="1:21" x14ac:dyDescent="0.25">
      <c r="A92" s="657" t="s">
        <v>516</v>
      </c>
      <c r="D92" s="658"/>
      <c r="E92" s="670" t="s">
        <v>3</v>
      </c>
      <c r="F92" s="289">
        <v>11511363</v>
      </c>
      <c r="G92" s="661" t="s">
        <v>6</v>
      </c>
      <c r="H92" s="473">
        <f>H76</f>
        <v>1.93E-4</v>
      </c>
      <c r="I92" s="101">
        <f t="shared" ref="I92:I98" si="15">ROUND(F92*H92,2)</f>
        <v>2221.69</v>
      </c>
      <c r="N92" s="682" t="s">
        <v>516</v>
      </c>
      <c r="O92" s="51"/>
      <c r="P92" s="51"/>
      <c r="Q92" s="44"/>
      <c r="R92" s="470">
        <f t="shared" ref="R92:R96" si="16">F92</f>
        <v>11511363</v>
      </c>
      <c r="S92" s="671" t="s">
        <v>6</v>
      </c>
      <c r="T92" s="472">
        <f>T76</f>
        <v>0</v>
      </c>
      <c r="U92" s="524">
        <f>ROUND(R92*T92,2)</f>
        <v>0</v>
      </c>
    </row>
    <row r="93" spans="1:21" x14ac:dyDescent="0.25">
      <c r="A93" s="657"/>
      <c r="D93" s="658"/>
      <c r="E93" s="670"/>
      <c r="F93" s="275"/>
      <c r="G93" s="661"/>
      <c r="H93" s="473"/>
      <c r="I93" s="101"/>
      <c r="N93" s="682"/>
      <c r="O93" s="51"/>
      <c r="P93" s="51"/>
      <c r="Q93" s="44"/>
      <c r="R93" s="471"/>
      <c r="S93" s="671"/>
      <c r="T93" s="472"/>
      <c r="U93" s="528"/>
    </row>
    <row r="94" spans="1:21" x14ac:dyDescent="0.25">
      <c r="A94" s="794" t="s">
        <v>482</v>
      </c>
      <c r="B94" s="788"/>
      <c r="C94" s="788"/>
      <c r="D94" s="658"/>
      <c r="E94" s="670" t="s">
        <v>4</v>
      </c>
      <c r="F94" s="289">
        <v>255756816</v>
      </c>
      <c r="G94" s="661" t="s">
        <v>6</v>
      </c>
      <c r="H94" s="473">
        <f>H73</f>
        <v>1.56E-4</v>
      </c>
      <c r="I94" s="101">
        <f t="shared" si="15"/>
        <v>39898.06</v>
      </c>
      <c r="N94" s="834" t="s">
        <v>482</v>
      </c>
      <c r="O94" s="834"/>
      <c r="P94" s="834"/>
      <c r="Q94" s="44"/>
      <c r="R94" s="470">
        <f t="shared" si="16"/>
        <v>255756816</v>
      </c>
      <c r="S94" s="671" t="s">
        <v>6</v>
      </c>
      <c r="T94" s="472">
        <f>T73</f>
        <v>0</v>
      </c>
      <c r="U94" s="524">
        <f>ROUND(R94*T94,2)</f>
        <v>0</v>
      </c>
    </row>
    <row r="95" spans="1:21" x14ac:dyDescent="0.25">
      <c r="A95" s="657"/>
      <c r="B95" s="658"/>
      <c r="C95" s="658"/>
      <c r="D95" s="658"/>
      <c r="E95" s="670"/>
      <c r="F95" s="275"/>
      <c r="G95" s="661"/>
      <c r="H95" s="473"/>
      <c r="I95" s="101"/>
      <c r="N95" s="677"/>
      <c r="O95" s="677"/>
      <c r="P95" s="677"/>
      <c r="Q95" s="44"/>
      <c r="R95" s="470"/>
      <c r="S95" s="671"/>
      <c r="T95" s="472"/>
      <c r="U95" s="524"/>
    </row>
    <row r="96" spans="1:21" x14ac:dyDescent="0.25">
      <c r="A96" s="794" t="s">
        <v>483</v>
      </c>
      <c r="B96" s="788"/>
      <c r="C96" s="788"/>
      <c r="D96" s="658"/>
      <c r="E96" s="670" t="s">
        <v>4</v>
      </c>
      <c r="F96" s="289">
        <v>-15444055</v>
      </c>
      <c r="G96" s="661" t="s">
        <v>6</v>
      </c>
      <c r="H96" s="473">
        <f>H73</f>
        <v>1.56E-4</v>
      </c>
      <c r="I96" s="101">
        <f t="shared" si="15"/>
        <v>-2409.27</v>
      </c>
      <c r="N96" s="853" t="s">
        <v>483</v>
      </c>
      <c r="O96" s="853"/>
      <c r="P96" s="853"/>
      <c r="Q96" s="44"/>
      <c r="R96" s="470">
        <f t="shared" si="16"/>
        <v>-15444055</v>
      </c>
      <c r="S96" s="671" t="s">
        <v>6</v>
      </c>
      <c r="T96" s="472">
        <f>T73</f>
        <v>0</v>
      </c>
      <c r="U96" s="524">
        <f>ROUND(R96*T96,2)</f>
        <v>0</v>
      </c>
    </row>
    <row r="97" spans="1:21" x14ac:dyDescent="0.25">
      <c r="A97" s="657"/>
      <c r="B97" s="658"/>
      <c r="C97" s="658"/>
      <c r="D97" s="658"/>
      <c r="E97" s="670"/>
      <c r="F97" s="275"/>
      <c r="G97" s="661"/>
      <c r="H97" s="473"/>
      <c r="I97" s="101"/>
      <c r="N97" s="682"/>
      <c r="O97" s="682"/>
      <c r="P97" s="682"/>
      <c r="Q97" s="44"/>
      <c r="R97" s="589"/>
      <c r="S97" s="671"/>
      <c r="T97" s="472"/>
      <c r="U97" s="528"/>
    </row>
    <row r="98" spans="1:21" x14ac:dyDescent="0.25">
      <c r="A98" s="741" t="s">
        <v>556</v>
      </c>
      <c r="B98" s="658"/>
      <c r="C98" s="658"/>
      <c r="D98" s="658"/>
      <c r="E98" s="670" t="s">
        <v>3</v>
      </c>
      <c r="F98" s="289">
        <v>5621424</v>
      </c>
      <c r="G98" s="661" t="s">
        <v>6</v>
      </c>
      <c r="H98" s="473">
        <f>H70</f>
        <v>1.7100000000000001E-4</v>
      </c>
      <c r="I98" s="101">
        <f t="shared" si="15"/>
        <v>961.26</v>
      </c>
      <c r="N98" s="682" t="s">
        <v>556</v>
      </c>
      <c r="O98" s="682"/>
      <c r="P98" s="682"/>
      <c r="Q98" s="44"/>
      <c r="R98" s="590">
        <f>F98</f>
        <v>5621424</v>
      </c>
      <c r="S98" s="671" t="s">
        <v>6</v>
      </c>
      <c r="T98" s="472">
        <f>T70</f>
        <v>0</v>
      </c>
      <c r="U98" s="524">
        <f>ROUND(R98*T98,2)</f>
        <v>0</v>
      </c>
    </row>
    <row r="99" spans="1:21" x14ac:dyDescent="0.25">
      <c r="A99" s="657"/>
      <c r="B99" s="658"/>
      <c r="C99" s="658"/>
      <c r="D99" s="658"/>
      <c r="E99" s="670"/>
      <c r="F99" s="275"/>
      <c r="G99" s="661"/>
      <c r="H99" s="473"/>
      <c r="I99" s="101"/>
      <c r="N99" s="682"/>
      <c r="O99" s="682"/>
      <c r="P99" s="682"/>
      <c r="Q99" s="44"/>
      <c r="R99" s="589"/>
      <c r="S99" s="671"/>
      <c r="T99" s="472"/>
      <c r="U99" s="528"/>
    </row>
    <row r="100" spans="1:21" x14ac:dyDescent="0.25">
      <c r="A100" s="657"/>
      <c r="B100" s="658"/>
      <c r="C100" s="658"/>
      <c r="D100" s="658"/>
      <c r="E100" s="670"/>
      <c r="F100" s="275"/>
      <c r="G100" s="661"/>
      <c r="H100" s="473"/>
      <c r="I100" s="101"/>
      <c r="N100" s="682"/>
      <c r="O100" s="682"/>
      <c r="P100" s="682"/>
      <c r="Q100" s="44"/>
      <c r="R100" s="471"/>
      <c r="S100" s="671"/>
      <c r="T100" s="472"/>
      <c r="U100" s="103"/>
    </row>
    <row r="101" spans="1:21" ht="15" customHeight="1" x14ac:dyDescent="0.25">
      <c r="A101" s="451" t="s">
        <v>557</v>
      </c>
      <c r="N101" s="459" t="s">
        <v>557</v>
      </c>
      <c r="O101" s="51"/>
      <c r="P101" s="51"/>
      <c r="Q101" s="51"/>
      <c r="R101" s="51"/>
      <c r="S101" s="51"/>
      <c r="T101" s="51"/>
      <c r="U101" s="51"/>
    </row>
    <row r="102" spans="1:21" x14ac:dyDescent="0.25">
      <c r="B102" s="658"/>
      <c r="C102" s="773" t="s">
        <v>60</v>
      </c>
      <c r="D102" s="773"/>
      <c r="E102" s="658"/>
      <c r="F102" s="663" t="s">
        <v>28</v>
      </c>
      <c r="G102" s="658"/>
      <c r="H102" s="658"/>
      <c r="I102" s="658"/>
      <c r="N102" s="677"/>
      <c r="O102" s="677"/>
      <c r="P102" s="677"/>
      <c r="Q102" s="677"/>
      <c r="R102" s="677"/>
      <c r="S102" s="677"/>
      <c r="T102" s="677"/>
      <c r="U102" s="677"/>
    </row>
    <row r="103" spans="1:21" x14ac:dyDescent="0.25">
      <c r="A103" s="3"/>
      <c r="B103" s="118"/>
      <c r="C103" s="774" t="s">
        <v>101</v>
      </c>
      <c r="D103" s="774"/>
      <c r="E103" s="119" t="s">
        <v>485</v>
      </c>
      <c r="F103" s="120" t="s">
        <v>106</v>
      </c>
      <c r="G103" s="666"/>
      <c r="H103" s="666"/>
      <c r="I103" s="666"/>
      <c r="N103" s="865" t="s">
        <v>35</v>
      </c>
      <c r="O103" s="865"/>
      <c r="P103" s="866" t="s">
        <v>487</v>
      </c>
      <c r="Q103" s="867"/>
      <c r="R103" s="856" t="s">
        <v>31</v>
      </c>
      <c r="S103" s="856"/>
      <c r="T103" s="856"/>
      <c r="U103" s="856"/>
    </row>
    <row r="104" spans="1:21" x14ac:dyDescent="0.25">
      <c r="A104" s="660"/>
      <c r="B104" s="52" t="s">
        <v>105</v>
      </c>
      <c r="C104" s="806">
        <f>H14+H15+H20+H23+H26</f>
        <v>0</v>
      </c>
      <c r="D104" s="806"/>
      <c r="E104" s="46">
        <f>H8</f>
        <v>1.0407999999999999</v>
      </c>
      <c r="F104" s="290">
        <v>950.92</v>
      </c>
      <c r="G104" s="663" t="s">
        <v>12</v>
      </c>
      <c r="H104" s="101">
        <f>ROUND(C104*E104*F104,2)</f>
        <v>0</v>
      </c>
      <c r="I104" s="104"/>
      <c r="N104" s="687"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36.96</v>
      </c>
      <c r="D105" s="806"/>
      <c r="E105" s="46">
        <f>H8</f>
        <v>1.0407999999999999</v>
      </c>
      <c r="F105" s="290">
        <v>907.92</v>
      </c>
      <c r="G105" s="663" t="s">
        <v>12</v>
      </c>
      <c r="H105" s="101">
        <f>ROUND(C105*E105*F105,2)</f>
        <v>34925.839999999997</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290">
        <v>910.12</v>
      </c>
      <c r="G106" s="663"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36.96</v>
      </c>
      <c r="D107" s="796"/>
      <c r="E107" s="123"/>
      <c r="F107" s="123"/>
      <c r="G107" s="123"/>
      <c r="H107" s="124" t="s">
        <v>100</v>
      </c>
      <c r="I107" s="101">
        <f>IF(A1=75,0,H106+H105+H104)</f>
        <v>34925.839999999997</v>
      </c>
      <c r="N107" s="688"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669"/>
      <c r="B109" s="669"/>
      <c r="C109" s="669"/>
      <c r="D109" s="669"/>
      <c r="E109" s="669"/>
      <c r="F109" s="669"/>
      <c r="G109" s="669"/>
      <c r="H109" s="669"/>
      <c r="I109" s="669"/>
      <c r="N109" s="689"/>
      <c r="O109" s="689"/>
      <c r="P109" s="689"/>
      <c r="Q109" s="689"/>
      <c r="R109" s="689"/>
      <c r="S109" s="689"/>
      <c r="T109" s="689"/>
      <c r="U109" s="689"/>
    </row>
    <row r="110" spans="1:21" x14ac:dyDescent="0.25">
      <c r="A110" s="657" t="s">
        <v>558</v>
      </c>
      <c r="C110" s="670"/>
      <c r="D110" s="658"/>
      <c r="E110" s="670" t="s">
        <v>32</v>
      </c>
      <c r="F110" s="766"/>
      <c r="G110" s="766"/>
      <c r="H110" s="766"/>
      <c r="I110" s="766"/>
      <c r="N110" s="853" t="s">
        <v>558</v>
      </c>
      <c r="O110" s="834"/>
      <c r="P110" s="834"/>
      <c r="Q110" s="873"/>
      <c r="R110" s="873"/>
      <c r="S110" s="873"/>
      <c r="T110" s="873"/>
      <c r="U110" s="103"/>
    </row>
    <row r="111" spans="1:21" x14ac:dyDescent="0.25">
      <c r="B111" s="658"/>
      <c r="C111" s="88" t="s">
        <v>581</v>
      </c>
      <c r="D111" s="349" t="s">
        <v>582</v>
      </c>
      <c r="E111" s="89" t="s">
        <v>107</v>
      </c>
      <c r="F111" s="670"/>
      <c r="G111" s="670"/>
      <c r="H111" s="670"/>
      <c r="I111" s="670"/>
      <c r="N111" s="677"/>
      <c r="O111" s="677"/>
      <c r="P111" s="677"/>
      <c r="Q111" s="690"/>
      <c r="R111" s="690"/>
      <c r="S111" s="690"/>
      <c r="T111" s="690"/>
      <c r="U111" s="103"/>
    </row>
    <row r="112" spans="1:21" x14ac:dyDescent="0.25">
      <c r="B112" s="658"/>
      <c r="C112" s="340" t="s">
        <v>2</v>
      </c>
      <c r="D112" s="340" t="s">
        <v>2</v>
      </c>
      <c r="E112" s="90" t="s">
        <v>2</v>
      </c>
      <c r="F112" s="670"/>
      <c r="G112" s="670"/>
      <c r="H112" s="670"/>
      <c r="I112" s="670"/>
      <c r="N112" s="677"/>
      <c r="O112" s="677"/>
      <c r="P112" s="677"/>
      <c r="Q112" s="690"/>
      <c r="R112" s="690"/>
      <c r="S112" s="690"/>
      <c r="T112" s="690"/>
      <c r="U112" s="103"/>
    </row>
    <row r="113" spans="1:21" x14ac:dyDescent="0.25">
      <c r="A113" s="767" t="s">
        <v>443</v>
      </c>
      <c r="B113" s="768"/>
      <c r="C113" s="143">
        <v>7</v>
      </c>
      <c r="D113" s="143">
        <v>0</v>
      </c>
      <c r="E113" s="116">
        <f>C113</f>
        <v>7</v>
      </c>
      <c r="F113" s="126" t="s">
        <v>30</v>
      </c>
      <c r="G113" s="291">
        <v>607</v>
      </c>
      <c r="I113" s="101">
        <f>ROUND(G113*E113,2)</f>
        <v>4249</v>
      </c>
      <c r="N113" s="868" t="s">
        <v>52</v>
      </c>
      <c r="O113" s="868"/>
      <c r="P113" s="869">
        <f>IF(H133=1,E113,0)</f>
        <v>0</v>
      </c>
      <c r="Q113" s="869"/>
      <c r="R113" s="869"/>
      <c r="S113" s="672" t="s">
        <v>30</v>
      </c>
      <c r="T113" s="58">
        <f>G113</f>
        <v>607</v>
      </c>
      <c r="U113" s="524">
        <f>ROUND(T113*P113,2)</f>
        <v>0</v>
      </c>
    </row>
    <row r="114" spans="1:21" x14ac:dyDescent="0.25">
      <c r="A114" s="767" t="s">
        <v>444</v>
      </c>
      <c r="B114" s="768"/>
      <c r="C114" s="143">
        <v>0</v>
      </c>
      <c r="D114" s="143">
        <v>0</v>
      </c>
      <c r="E114" s="116">
        <f>(C114+D114)/2</f>
        <v>0</v>
      </c>
      <c r="F114" s="126" t="s">
        <v>30</v>
      </c>
      <c r="G114" s="291">
        <v>1842</v>
      </c>
      <c r="I114" s="101">
        <f>ROUND(G114*E114,2)</f>
        <v>0</v>
      </c>
      <c r="N114" s="868" t="s">
        <v>64</v>
      </c>
      <c r="O114" s="868"/>
      <c r="P114" s="841"/>
      <c r="Q114" s="841"/>
      <c r="R114" s="841"/>
      <c r="S114" s="672" t="s">
        <v>30</v>
      </c>
      <c r="T114" s="58">
        <f>G114</f>
        <v>1842</v>
      </c>
      <c r="U114" s="524">
        <f>ROUND(T114*P114,2)</f>
        <v>0</v>
      </c>
    </row>
    <row r="115" spans="1:21" x14ac:dyDescent="0.25">
      <c r="A115" s="127"/>
      <c r="B115" s="127"/>
      <c r="C115" s="65"/>
      <c r="D115" s="65"/>
      <c r="E115" s="65"/>
      <c r="F115" s="65"/>
      <c r="G115" s="674"/>
      <c r="H115" s="129"/>
      <c r="I115" s="101"/>
      <c r="N115" s="686"/>
      <c r="O115" s="686"/>
      <c r="P115" s="131"/>
      <c r="Q115" s="131"/>
      <c r="R115" s="131"/>
      <c r="S115" s="672"/>
      <c r="T115" s="58"/>
      <c r="U115" s="103"/>
    </row>
    <row r="116" spans="1:21" x14ac:dyDescent="0.25">
      <c r="A116" s="127"/>
      <c r="B116" s="127"/>
      <c r="C116" s="65"/>
      <c r="D116" s="65"/>
      <c r="E116" s="65"/>
      <c r="F116" s="65"/>
      <c r="G116" s="674"/>
      <c r="H116" s="129"/>
      <c r="I116" s="101"/>
      <c r="N116" s="686"/>
      <c r="O116" s="686"/>
      <c r="P116" s="131"/>
      <c r="Q116" s="131"/>
      <c r="R116" s="131"/>
      <c r="S116" s="672"/>
      <c r="T116" s="58"/>
      <c r="U116" s="103"/>
    </row>
    <row r="117" spans="1:21" hidden="1" x14ac:dyDescent="0.25">
      <c r="A117" s="794" t="s">
        <v>559</v>
      </c>
      <c r="B117" s="788"/>
      <c r="C117" s="788"/>
      <c r="D117" s="658"/>
      <c r="E117" s="663" t="s">
        <v>317</v>
      </c>
      <c r="F117" s="773"/>
      <c r="G117" s="773"/>
      <c r="H117" s="773"/>
      <c r="I117" s="773"/>
      <c r="N117" s="853" t="s">
        <v>560</v>
      </c>
      <c r="O117" s="834"/>
      <c r="P117" s="834"/>
      <c r="Q117" s="834"/>
      <c r="R117" s="834"/>
      <c r="S117" s="834"/>
      <c r="T117" s="834"/>
      <c r="U117" s="834"/>
    </row>
    <row r="118" spans="1:21" hidden="1" x14ac:dyDescent="0.25">
      <c r="B118" s="658"/>
      <c r="C118" s="774" t="s">
        <v>66</v>
      </c>
      <c r="D118" s="774"/>
      <c r="E118" s="774"/>
      <c r="F118" s="661"/>
      <c r="G118" s="661"/>
      <c r="H118" s="663" t="s">
        <v>108</v>
      </c>
      <c r="I118" s="661"/>
      <c r="N118" s="677"/>
      <c r="O118" s="677"/>
      <c r="P118" s="677"/>
      <c r="Q118" s="677"/>
      <c r="R118" s="677"/>
      <c r="S118" s="677"/>
      <c r="T118" s="677"/>
      <c r="U118" s="677"/>
    </row>
    <row r="119" spans="1:21" hidden="1" x14ac:dyDescent="0.25">
      <c r="B119" s="658"/>
      <c r="C119" s="88" t="s">
        <v>341</v>
      </c>
      <c r="D119" s="88" t="s">
        <v>314</v>
      </c>
      <c r="E119" s="137" t="s">
        <v>8</v>
      </c>
      <c r="F119" s="775" t="s">
        <v>109</v>
      </c>
      <c r="G119" s="773"/>
      <c r="H119" s="661" t="s">
        <v>29</v>
      </c>
      <c r="I119" s="661"/>
      <c r="N119" s="677"/>
      <c r="O119" s="677"/>
      <c r="P119" s="677"/>
      <c r="Q119" s="677"/>
      <c r="R119" s="677"/>
      <c r="S119" s="677"/>
      <c r="T119" s="677"/>
      <c r="U119" s="677"/>
    </row>
    <row r="120" spans="1:21" hidden="1" x14ac:dyDescent="0.25">
      <c r="A120" s="774" t="s">
        <v>69</v>
      </c>
      <c r="B120" s="774"/>
      <c r="C120" s="90" t="s">
        <v>2</v>
      </c>
      <c r="D120" s="90" t="s">
        <v>2</v>
      </c>
      <c r="E120" s="662" t="s">
        <v>2</v>
      </c>
      <c r="F120" s="774" t="s">
        <v>28</v>
      </c>
      <c r="G120" s="774"/>
      <c r="H120" s="662" t="s">
        <v>28</v>
      </c>
      <c r="I120" s="662" t="s">
        <v>8</v>
      </c>
      <c r="N120" s="874" t="s">
        <v>53</v>
      </c>
      <c r="O120" s="874"/>
      <c r="P120" s="869" t="s">
        <v>66</v>
      </c>
      <c r="Q120" s="869"/>
      <c r="R120" s="874" t="s">
        <v>54</v>
      </c>
      <c r="S120" s="874"/>
      <c r="T120" s="685" t="s">
        <v>55</v>
      </c>
      <c r="U120" s="685"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idden="1" x14ac:dyDescent="0.25">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x14ac:dyDescent="0.25">
      <c r="A125" s="661"/>
      <c r="B125" s="661"/>
      <c r="C125" s="65"/>
      <c r="D125" s="65"/>
      <c r="E125" s="65"/>
      <c r="F125" s="65"/>
      <c r="G125" s="65"/>
      <c r="H125" s="65"/>
      <c r="I125" s="101"/>
      <c r="N125" s="671"/>
      <c r="O125" s="671"/>
      <c r="P125" s="66"/>
      <c r="Q125" s="66"/>
      <c r="R125" s="66"/>
      <c r="S125" s="66"/>
      <c r="T125" s="66"/>
      <c r="U125" s="138"/>
    </row>
    <row r="126" spans="1:21" x14ac:dyDescent="0.25">
      <c r="A126" s="794" t="s">
        <v>492</v>
      </c>
      <c r="B126" s="788"/>
      <c r="C126" s="788"/>
      <c r="D126" s="658"/>
      <c r="E126" s="659" t="s">
        <v>34</v>
      </c>
      <c r="F126" s="807"/>
      <c r="G126" s="807"/>
      <c r="H126" s="807"/>
      <c r="I126" s="154">
        <v>0</v>
      </c>
      <c r="N126" s="853" t="s">
        <v>492</v>
      </c>
      <c r="O126" s="834"/>
      <c r="P126" s="834"/>
      <c r="Q126" s="305"/>
      <c r="R126" s="305"/>
      <c r="S126" s="305"/>
      <c r="T126" s="305"/>
      <c r="U126" s="524">
        <f>IF($H$133=1,I126,0)</f>
        <v>0</v>
      </c>
    </row>
    <row r="127" spans="1:21" x14ac:dyDescent="0.25">
      <c r="B127" s="658"/>
      <c r="C127" s="658"/>
      <c r="D127" s="658"/>
      <c r="E127" s="659"/>
      <c r="F127" s="659"/>
      <c r="G127" s="659"/>
      <c r="H127" s="659"/>
      <c r="I127" s="116"/>
      <c r="N127" s="682"/>
      <c r="O127" s="677"/>
      <c r="P127" s="677"/>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308257.42999999993</v>
      </c>
      <c r="J128" s="250"/>
      <c r="N128" s="682"/>
      <c r="O128" s="677"/>
      <c r="P128" s="677"/>
      <c r="Q128" s="305"/>
      <c r="R128" s="305"/>
      <c r="S128" s="305"/>
      <c r="T128" s="305"/>
      <c r="U128" s="531">
        <f>SUM(U30,U85,U88,U90,U92,U94,U96,U107,U113,U114,U124,U126)</f>
        <v>0</v>
      </c>
    </row>
    <row r="129" spans="1:21" ht="16.5" thickTop="1" x14ac:dyDescent="0.25">
      <c r="A129" s="660"/>
      <c r="B129" s="660"/>
      <c r="C129" s="660"/>
      <c r="D129" s="660"/>
      <c r="E129" s="660"/>
      <c r="F129" s="660"/>
      <c r="G129" s="660"/>
      <c r="H129" s="660"/>
      <c r="I129" s="101"/>
      <c r="J129" s="250"/>
      <c r="N129" s="682"/>
      <c r="O129" s="677"/>
      <c r="P129" s="677"/>
      <c r="Q129" s="305"/>
      <c r="R129" s="305"/>
      <c r="S129" s="305"/>
      <c r="T129" s="305"/>
      <c r="U129" s="103"/>
    </row>
    <row r="130" spans="1:21" ht="16.5" thickBot="1" x14ac:dyDescent="0.3">
      <c r="A130" s="657" t="s">
        <v>494</v>
      </c>
      <c r="B130" s="660"/>
      <c r="C130" s="660"/>
      <c r="D130" s="660"/>
      <c r="E130" s="660"/>
      <c r="F130" s="660"/>
      <c r="G130" s="660"/>
      <c r="H130" s="660"/>
      <c r="I130" s="101">
        <f>I128-I53</f>
        <v>296793.90999999992</v>
      </c>
      <c r="J130" s="250"/>
      <c r="N130" s="834" t="s">
        <v>494</v>
      </c>
      <c r="O130" s="834"/>
      <c r="P130" s="834"/>
      <c r="Q130" s="834"/>
      <c r="R130" s="834"/>
      <c r="S130" s="834"/>
      <c r="T130" s="834"/>
      <c r="U130" s="132">
        <f>U128-U53</f>
        <v>0</v>
      </c>
    </row>
    <row r="131" spans="1:21" ht="16.5" thickTop="1" x14ac:dyDescent="0.25">
      <c r="A131" s="660"/>
      <c r="B131" s="660"/>
      <c r="C131" s="660"/>
      <c r="D131" s="660"/>
      <c r="E131" s="660"/>
      <c r="F131" s="660"/>
      <c r="G131" s="660"/>
      <c r="H131" s="660"/>
      <c r="I131" s="101"/>
      <c r="J131" s="250"/>
      <c r="N131" s="687"/>
      <c r="O131" s="687"/>
      <c r="P131" s="687"/>
      <c r="Q131" s="687"/>
      <c r="R131" s="687"/>
      <c r="S131" s="687"/>
      <c r="T131" s="687"/>
      <c r="U131" s="138"/>
    </row>
    <row r="132" spans="1:21" x14ac:dyDescent="0.25">
      <c r="A132" s="794" t="s">
        <v>561</v>
      </c>
      <c r="B132" s="788"/>
      <c r="C132" s="788"/>
      <c r="D132" s="788"/>
      <c r="E132" s="788"/>
      <c r="F132" s="788"/>
      <c r="G132" s="788"/>
      <c r="H132" s="657" t="s">
        <v>375</v>
      </c>
      <c r="I132" s="134"/>
      <c r="J132" s="250"/>
      <c r="N132" s="853" t="s">
        <v>562</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687"/>
      <c r="O133" s="687"/>
      <c r="P133" s="687"/>
      <c r="Q133" s="687"/>
      <c r="R133" s="687"/>
      <c r="S133" s="687"/>
      <c r="T133" s="687"/>
      <c r="U133" s="138"/>
    </row>
    <row r="134" spans="1:21" x14ac:dyDescent="0.25">
      <c r="B134" s="658"/>
      <c r="C134" s="658"/>
      <c r="D134" s="658"/>
      <c r="E134" s="658"/>
      <c r="F134" s="658"/>
      <c r="G134" s="658"/>
      <c r="H134" s="65"/>
      <c r="I134" s="101"/>
      <c r="N134" s="687"/>
      <c r="O134" s="687"/>
      <c r="P134" s="687"/>
      <c r="Q134" s="687"/>
      <c r="R134" s="687"/>
      <c r="S134" s="687"/>
      <c r="T134" s="687"/>
      <c r="U134" s="138"/>
    </row>
    <row r="135" spans="1:21" x14ac:dyDescent="0.25">
      <c r="A135" s="3" t="s">
        <v>73</v>
      </c>
      <c r="B135" s="658"/>
      <c r="C135" s="658"/>
      <c r="D135" s="658"/>
      <c r="E135" s="658"/>
      <c r="F135" s="658"/>
      <c r="G135" s="257">
        <v>0</v>
      </c>
      <c r="H135" s="139">
        <f>IF(H133=1,I133,I130)</f>
        <v>296793.90999999992</v>
      </c>
      <c r="I135" s="94">
        <f>ROUND(IF(E30=0,0,IF(E30&gt;250,-(((250/E30)*H135)*IF(G135="H",0.02,0.05)),IF(G135="H",-0.02*H135,-0.05*H135))),2)</f>
        <v>-14839.7</v>
      </c>
      <c r="N135" s="877"/>
      <c r="O135" s="877"/>
      <c r="P135" s="877"/>
      <c r="Q135" s="877"/>
      <c r="R135" s="877"/>
      <c r="S135" s="877"/>
      <c r="T135" s="877"/>
      <c r="U135" s="877"/>
    </row>
    <row r="136" spans="1:21" x14ac:dyDescent="0.25">
      <c r="B136" s="658"/>
      <c r="C136" s="658"/>
      <c r="D136" s="658"/>
      <c r="E136" s="658"/>
      <c r="F136" s="658"/>
      <c r="G136" s="658"/>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293417.72999999992</v>
      </c>
      <c r="N137" s="71" t="s">
        <v>77</v>
      </c>
      <c r="O137" s="71"/>
      <c r="P137" s="71"/>
      <c r="Q137" s="71"/>
      <c r="R137" s="71"/>
      <c r="S137" s="71"/>
      <c r="T137" s="71"/>
      <c r="U137" s="71"/>
    </row>
    <row r="138" spans="1:21" x14ac:dyDescent="0.25">
      <c r="B138" s="658"/>
      <c r="C138" s="658"/>
      <c r="D138" s="658"/>
      <c r="E138" s="658"/>
      <c r="F138" s="658"/>
      <c r="G138" s="658"/>
      <c r="H138" s="65"/>
      <c r="I138" s="101"/>
      <c r="N138" s="72" t="s">
        <v>78</v>
      </c>
      <c r="O138" s="71"/>
      <c r="P138" s="71"/>
      <c r="Q138" s="71"/>
      <c r="R138" s="71"/>
      <c r="S138" s="71"/>
      <c r="T138" s="71"/>
      <c r="U138" s="71"/>
    </row>
    <row r="139" spans="1:21" x14ac:dyDescent="0.25">
      <c r="A139" s="3" t="s">
        <v>75</v>
      </c>
      <c r="B139" s="658"/>
      <c r="C139" s="140"/>
      <c r="D139" s="658"/>
      <c r="F139" s="658"/>
      <c r="G139" s="658"/>
      <c r="H139" s="65"/>
      <c r="I139" s="271">
        <f>-'Cumulative Payments'!Q70</f>
        <v>0</v>
      </c>
      <c r="N139" s="684"/>
      <c r="O139" s="684"/>
      <c r="P139" s="684"/>
      <c r="Q139" s="684"/>
      <c r="R139" s="684"/>
      <c r="S139" s="684"/>
      <c r="T139" s="684"/>
      <c r="U139" s="684"/>
    </row>
    <row r="140" spans="1:21" x14ac:dyDescent="0.25">
      <c r="B140" s="658"/>
      <c r="C140" s="658"/>
      <c r="D140" s="658"/>
      <c r="E140" s="658"/>
      <c r="F140" s="658"/>
      <c r="G140" s="658"/>
      <c r="H140" s="65"/>
      <c r="I140" s="101"/>
      <c r="N140" s="684"/>
      <c r="O140" s="684"/>
      <c r="P140" s="684"/>
      <c r="Q140" s="684"/>
      <c r="R140" s="684"/>
      <c r="S140" s="684"/>
      <c r="T140" s="684"/>
      <c r="U140" s="684"/>
    </row>
    <row r="141" spans="1:21" x14ac:dyDescent="0.25">
      <c r="A141" s="3" t="s">
        <v>246</v>
      </c>
      <c r="B141" s="658"/>
      <c r="C141" s="658"/>
      <c r="D141" s="658"/>
      <c r="E141" s="658"/>
      <c r="F141" s="658"/>
      <c r="G141" s="658"/>
      <c r="H141" s="65"/>
      <c r="I141" s="101">
        <f>I137+I139</f>
        <v>293417.72999999992</v>
      </c>
      <c r="N141" s="684"/>
      <c r="O141" s="684"/>
      <c r="P141" s="684"/>
      <c r="Q141" s="684"/>
      <c r="R141" s="684"/>
      <c r="S141" s="684"/>
      <c r="T141" s="684"/>
      <c r="U141" s="684"/>
    </row>
    <row r="142" spans="1:21" x14ac:dyDescent="0.25">
      <c r="A142" s="3"/>
      <c r="B142" s="658"/>
      <c r="C142" s="658"/>
      <c r="D142" s="658"/>
      <c r="E142" s="658"/>
      <c r="F142" s="658"/>
      <c r="G142" s="658"/>
      <c r="H142" s="65"/>
      <c r="I142" s="101"/>
      <c r="N142" s="684"/>
      <c r="O142" s="684"/>
      <c r="P142" s="684"/>
      <c r="Q142" s="684"/>
      <c r="R142" s="684"/>
      <c r="S142" s="684"/>
      <c r="T142" s="684"/>
      <c r="U142" s="684"/>
    </row>
    <row r="143" spans="1:21" x14ac:dyDescent="0.25">
      <c r="A143" s="3" t="s">
        <v>247</v>
      </c>
      <c r="B143" s="658"/>
      <c r="C143" s="658"/>
      <c r="D143" s="658"/>
      <c r="E143" s="658"/>
      <c r="F143" s="658"/>
      <c r="G143" s="658"/>
      <c r="H143" s="65"/>
      <c r="I143" s="272">
        <f>'1461'!I143</f>
        <v>12</v>
      </c>
      <c r="N143" s="684"/>
      <c r="O143" s="684"/>
      <c r="P143" s="684"/>
      <c r="Q143" s="684"/>
      <c r="R143" s="684"/>
      <c r="S143" s="684"/>
      <c r="T143" s="684"/>
      <c r="U143" s="684"/>
    </row>
    <row r="144" spans="1:21" x14ac:dyDescent="0.25">
      <c r="B144" s="658"/>
      <c r="C144" s="658"/>
      <c r="D144" s="658"/>
      <c r="E144" s="658"/>
      <c r="F144" s="658"/>
      <c r="G144" s="658"/>
      <c r="H144" s="65"/>
      <c r="I144" s="101"/>
      <c r="N144" s="684"/>
      <c r="O144" s="684"/>
      <c r="P144" s="684"/>
      <c r="Q144" s="684"/>
      <c r="R144" s="684"/>
      <c r="S144" s="684"/>
      <c r="T144" s="684"/>
      <c r="U144" s="684"/>
    </row>
    <row r="145" spans="1:21" ht="16.5" thickBot="1" x14ac:dyDescent="0.3">
      <c r="A145" s="3" t="s">
        <v>76</v>
      </c>
      <c r="B145" s="658"/>
      <c r="C145" s="658"/>
      <c r="D145" s="658"/>
      <c r="E145" s="658"/>
      <c r="F145" s="658"/>
      <c r="G145" s="658"/>
      <c r="H145" s="65"/>
      <c r="I145" s="155">
        <f>ROUND(I141/I143,2)</f>
        <v>24451.48</v>
      </c>
      <c r="K145" s="469"/>
      <c r="N145" s="684"/>
      <c r="O145" s="684"/>
      <c r="P145" s="684"/>
      <c r="Q145" s="684"/>
      <c r="R145" s="684"/>
      <c r="S145" s="684"/>
      <c r="T145" s="684"/>
      <c r="U145" s="684"/>
    </row>
    <row r="146" spans="1:21" ht="16.5" thickTop="1" x14ac:dyDescent="0.25">
      <c r="B146" s="658"/>
      <c r="C146" s="658"/>
      <c r="D146" s="658"/>
      <c r="E146" s="658"/>
      <c r="F146" s="658"/>
      <c r="G146" s="658"/>
      <c r="H146" s="65"/>
      <c r="I146" s="101"/>
      <c r="N146" s="684"/>
      <c r="O146" s="684"/>
      <c r="P146" s="684"/>
      <c r="Q146" s="684"/>
      <c r="R146" s="684"/>
      <c r="S146" s="684"/>
      <c r="T146" s="684"/>
      <c r="U146" s="684"/>
    </row>
    <row r="147" spans="1:21" ht="16.5" thickBot="1" x14ac:dyDescent="0.3">
      <c r="A147" s="3" t="s">
        <v>90</v>
      </c>
      <c r="B147" s="658"/>
      <c r="C147" s="658"/>
      <c r="D147" s="658"/>
      <c r="E147" s="658"/>
      <c r="F147" s="658"/>
      <c r="G147" s="658"/>
      <c r="H147" s="65"/>
      <c r="I147" s="133">
        <f>ROUND(IF(G135="H",(H135*0.02)+I135,(H135*0.05)+I135),2)</f>
        <v>0</v>
      </c>
      <c r="N147" s="684"/>
      <c r="O147" s="684"/>
      <c r="P147" s="684"/>
      <c r="Q147" s="684"/>
      <c r="R147" s="684"/>
      <c r="S147" s="684"/>
      <c r="T147" s="684"/>
      <c r="U147" s="684"/>
    </row>
    <row r="148" spans="1:21" ht="16.5" thickTop="1" x14ac:dyDescent="0.25">
      <c r="B148" s="658"/>
      <c r="C148" s="658"/>
      <c r="D148" s="658"/>
      <c r="E148" s="658"/>
      <c r="F148" s="658"/>
      <c r="G148" s="658"/>
      <c r="H148" s="65"/>
      <c r="I148" s="134"/>
      <c r="N148" s="684"/>
      <c r="O148" s="684"/>
      <c r="P148" s="684"/>
      <c r="Q148" s="684"/>
      <c r="R148" s="684"/>
      <c r="S148" s="684"/>
      <c r="T148" s="684"/>
      <c r="U148" s="684"/>
    </row>
    <row r="149" spans="1:21" x14ac:dyDescent="0.25">
      <c r="B149" s="658"/>
      <c r="C149" s="658"/>
      <c r="D149" s="658"/>
      <c r="E149" s="658"/>
      <c r="F149" s="658"/>
      <c r="G149" s="658"/>
      <c r="H149" s="65"/>
      <c r="I149" s="101"/>
      <c r="N149" s="684"/>
      <c r="O149" s="684"/>
      <c r="P149" s="684"/>
      <c r="Q149" s="684"/>
      <c r="R149" s="684"/>
      <c r="S149" s="684"/>
      <c r="T149" s="684"/>
      <c r="U149" s="684"/>
    </row>
    <row r="150" spans="1:21" x14ac:dyDescent="0.25">
      <c r="B150" s="658"/>
      <c r="C150" s="658"/>
      <c r="D150" s="658"/>
      <c r="E150" s="658"/>
      <c r="F150" s="658"/>
      <c r="G150" s="658"/>
      <c r="H150" s="65"/>
      <c r="I150" s="134"/>
      <c r="N150" s="684"/>
      <c r="O150" s="684"/>
      <c r="P150" s="684"/>
      <c r="Q150" s="684"/>
      <c r="R150" s="684"/>
      <c r="S150" s="684"/>
      <c r="T150" s="684"/>
      <c r="U150" s="684"/>
    </row>
    <row r="151" spans="1:21" ht="12.75" customHeight="1" x14ac:dyDescent="0.25">
      <c r="A151" s="357" t="s">
        <v>7</v>
      </c>
      <c r="B151" s="357"/>
      <c r="C151" s="357"/>
      <c r="D151" s="357"/>
      <c r="E151" s="357"/>
      <c r="F151" s="357"/>
      <c r="G151" s="357"/>
      <c r="H151" s="357"/>
      <c r="I151" s="357"/>
      <c r="J151" s="134"/>
      <c r="N151" s="684"/>
      <c r="O151" s="684"/>
      <c r="P151" s="684"/>
      <c r="Q151" s="684"/>
      <c r="R151" s="684"/>
      <c r="S151" s="684"/>
      <c r="T151" s="684"/>
      <c r="U151" s="684"/>
    </row>
    <row r="152" spans="1:21" ht="12.75" customHeight="1" x14ac:dyDescent="0.25">
      <c r="A152" s="358" t="s">
        <v>259</v>
      </c>
      <c r="B152" s="359"/>
      <c r="C152" s="359"/>
      <c r="D152" s="359"/>
      <c r="E152" s="359"/>
      <c r="F152" s="359"/>
      <c r="G152" s="359"/>
      <c r="H152" s="359"/>
      <c r="I152" s="359"/>
      <c r="J152" s="77"/>
      <c r="K152" s="339"/>
      <c r="L152" s="76"/>
      <c r="M152" s="76"/>
      <c r="N152" s="684"/>
      <c r="O152" s="684"/>
      <c r="P152" s="684"/>
      <c r="Q152" s="684"/>
      <c r="R152" s="684"/>
      <c r="S152" s="684"/>
      <c r="T152" s="684"/>
      <c r="U152" s="684"/>
    </row>
    <row r="153" spans="1:21" ht="12.75" customHeight="1" x14ac:dyDescent="0.25">
      <c r="A153" s="364" t="s">
        <v>434</v>
      </c>
      <c r="B153" s="359"/>
      <c r="C153" s="359"/>
      <c r="D153" s="359"/>
      <c r="E153" s="359"/>
      <c r="F153" s="359"/>
      <c r="G153" s="359"/>
      <c r="H153" s="359"/>
      <c r="I153" s="359"/>
      <c r="J153" s="77"/>
      <c r="K153" s="339"/>
      <c r="L153" s="76"/>
      <c r="M153" s="76"/>
      <c r="N153" s="684"/>
      <c r="O153" s="684"/>
      <c r="P153" s="684"/>
      <c r="Q153" s="684"/>
      <c r="R153" s="684"/>
      <c r="S153" s="684"/>
      <c r="T153" s="684"/>
      <c r="U153" s="684"/>
    </row>
    <row r="154" spans="1:21" ht="12.75" customHeight="1" x14ac:dyDescent="0.25">
      <c r="A154" s="361" t="s">
        <v>435</v>
      </c>
      <c r="B154" s="360"/>
      <c r="C154" s="360"/>
      <c r="D154" s="360"/>
      <c r="E154" s="360"/>
      <c r="F154" s="360"/>
      <c r="G154" s="360"/>
      <c r="H154" s="360"/>
      <c r="I154" s="360"/>
      <c r="J154" s="76"/>
      <c r="K154" s="76"/>
      <c r="L154" s="76"/>
      <c r="M154" s="76"/>
      <c r="N154" s="684"/>
      <c r="O154" s="684"/>
      <c r="P154" s="684"/>
      <c r="Q154" s="684"/>
      <c r="R154" s="684"/>
      <c r="S154" s="684"/>
      <c r="T154" s="684"/>
      <c r="U154" s="684"/>
    </row>
    <row r="155" spans="1:21" s="76" customFormat="1" ht="12.75" customHeight="1" x14ac:dyDescent="0.2">
      <c r="A155" s="361" t="s">
        <v>436</v>
      </c>
      <c r="B155" s="360"/>
      <c r="C155" s="360"/>
      <c r="D155" s="360"/>
      <c r="E155" s="360"/>
      <c r="F155" s="360"/>
      <c r="G155" s="360"/>
      <c r="H155" s="360"/>
      <c r="I155" s="360"/>
      <c r="N155" s="879"/>
      <c r="O155" s="879"/>
      <c r="P155" s="879"/>
      <c r="Q155" s="879"/>
      <c r="R155" s="879"/>
      <c r="S155" s="879"/>
      <c r="T155" s="879"/>
      <c r="U155" s="879"/>
    </row>
    <row r="156" spans="1:21" s="76" customFormat="1" ht="12.75" customHeight="1" x14ac:dyDescent="0.2">
      <c r="A156" s="361" t="s">
        <v>437</v>
      </c>
      <c r="B156" s="360"/>
      <c r="C156" s="360"/>
      <c r="D156" s="360"/>
      <c r="E156" s="360"/>
      <c r="F156" s="360"/>
      <c r="G156" s="360"/>
      <c r="H156" s="360"/>
      <c r="I156" s="360"/>
      <c r="N156" s="684"/>
      <c r="O156" s="684"/>
      <c r="P156" s="684"/>
      <c r="Q156" s="684"/>
      <c r="R156" s="684"/>
      <c r="S156" s="684"/>
      <c r="T156" s="684"/>
      <c r="U156" s="684"/>
    </row>
    <row r="157" spans="1:21" s="76" customFormat="1" ht="12.75" customHeight="1" x14ac:dyDescent="0.2">
      <c r="A157" s="361" t="s">
        <v>438</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439</v>
      </c>
      <c r="B158" s="360"/>
      <c r="C158" s="360"/>
      <c r="D158" s="360"/>
      <c r="E158" s="360"/>
      <c r="F158" s="360"/>
      <c r="G158" s="360"/>
      <c r="H158" s="360"/>
      <c r="I158" s="360"/>
      <c r="N158" s="78"/>
    </row>
    <row r="159" spans="1:21" s="76" customFormat="1" ht="12.75" customHeight="1" x14ac:dyDescent="0.2">
      <c r="A159" s="361" t="s">
        <v>441</v>
      </c>
      <c r="B159" s="360"/>
      <c r="C159" s="360"/>
      <c r="D159" s="360"/>
      <c r="E159" s="360"/>
      <c r="F159" s="360"/>
      <c r="G159" s="360"/>
      <c r="H159" s="360"/>
      <c r="I159" s="360"/>
      <c r="K159" s="360"/>
      <c r="N159" s="78"/>
    </row>
    <row r="160" spans="1:21" s="76" customFormat="1" ht="12.75" customHeight="1" x14ac:dyDescent="0.2">
      <c r="A160" s="366" t="s">
        <v>440</v>
      </c>
      <c r="B160" s="360"/>
      <c r="C160" s="360"/>
      <c r="D160" s="360"/>
      <c r="E160" s="360"/>
      <c r="F160" s="360"/>
      <c r="G160" s="360"/>
      <c r="H160" s="360"/>
      <c r="I160" s="360"/>
      <c r="N160" s="78"/>
    </row>
    <row r="161" spans="1:14" s="76" customFormat="1" ht="12.75" customHeight="1" x14ac:dyDescent="0.2">
      <c r="A161" s="361" t="s">
        <v>442</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445</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447</v>
      </c>
      <c r="B165" s="360"/>
      <c r="C165" s="360"/>
      <c r="D165" s="360"/>
      <c r="E165" s="360"/>
      <c r="F165" s="360"/>
      <c r="G165" s="360"/>
      <c r="H165" s="360"/>
      <c r="I165" s="360"/>
      <c r="N165" s="78"/>
    </row>
    <row r="166" spans="1:14" s="76" customFormat="1" ht="12.75" customHeight="1" x14ac:dyDescent="0.2">
      <c r="A166" s="366" t="s">
        <v>446</v>
      </c>
      <c r="B166" s="360"/>
      <c r="C166" s="360"/>
      <c r="D166" s="360"/>
      <c r="E166" s="360"/>
      <c r="F166" s="360"/>
      <c r="G166" s="360"/>
      <c r="H166" s="360"/>
      <c r="I166" s="360"/>
      <c r="N166" s="78"/>
    </row>
    <row r="167" spans="1:14" s="76" customFormat="1" ht="12.75" customHeight="1" x14ac:dyDescent="0.2">
      <c r="A167" s="361" t="s">
        <v>448</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450</v>
      </c>
      <c r="B169" s="360"/>
      <c r="C169" s="360"/>
      <c r="D169" s="360"/>
      <c r="E169" s="360"/>
      <c r="F169" s="360"/>
      <c r="G169" s="360"/>
      <c r="H169" s="360"/>
      <c r="I169" s="360"/>
      <c r="N169" s="78"/>
    </row>
    <row r="170" spans="1:14" s="76" customFormat="1" ht="12.75" customHeight="1" x14ac:dyDescent="0.2">
      <c r="A170" s="366" t="s">
        <v>449</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451</v>
      </c>
      <c r="B175" s="370"/>
      <c r="C175" s="370"/>
      <c r="D175" s="370"/>
      <c r="E175" s="370"/>
      <c r="F175" s="370"/>
      <c r="G175" s="370"/>
      <c r="H175" s="370"/>
      <c r="I175" s="370"/>
      <c r="N175" s="78"/>
    </row>
    <row r="176" spans="1:14" s="76" customFormat="1" ht="12.75" customHeight="1" x14ac:dyDescent="0.2">
      <c r="A176" s="367" t="s">
        <v>452</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33:G133"/>
    <mergeCell ref="N135:U135"/>
    <mergeCell ref="N136:U136"/>
    <mergeCell ref="N155:U155"/>
    <mergeCell ref="A126:C126"/>
    <mergeCell ref="F126:H126"/>
    <mergeCell ref="N126:P126"/>
    <mergeCell ref="A128:H128"/>
    <mergeCell ref="N130:T130"/>
    <mergeCell ref="A132:G132"/>
    <mergeCell ref="N132:T132"/>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N82:S82"/>
    <mergeCell ref="T82:U82"/>
    <mergeCell ref="A87:C87"/>
    <mergeCell ref="N87:P87"/>
    <mergeCell ref="A88:C88"/>
    <mergeCell ref="N88:P88"/>
    <mergeCell ref="N79:S79"/>
    <mergeCell ref="T79:U79"/>
    <mergeCell ref="A81:B81"/>
    <mergeCell ref="D81:G81"/>
    <mergeCell ref="N81:O81"/>
    <mergeCell ref="Q81:S81"/>
    <mergeCell ref="T81:U81"/>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P56:Q56"/>
    <mergeCell ref="A57:B65"/>
    <mergeCell ref="N57:O65"/>
    <mergeCell ref="P57:Q57"/>
    <mergeCell ref="P58:Q58"/>
    <mergeCell ref="P59:Q59"/>
    <mergeCell ref="P60:Q60"/>
    <mergeCell ref="P61:Q61"/>
    <mergeCell ref="P62:Q62"/>
    <mergeCell ref="P63:Q63"/>
    <mergeCell ref="A43:B43"/>
    <mergeCell ref="N43:O43"/>
    <mergeCell ref="P43:T43"/>
    <mergeCell ref="N44:Q44"/>
    <mergeCell ref="S44:T44"/>
    <mergeCell ref="N46:Q46"/>
    <mergeCell ref="S46:T46"/>
    <mergeCell ref="A41:B41"/>
    <mergeCell ref="N41:O41"/>
    <mergeCell ref="P41:T41"/>
    <mergeCell ref="A42:B42"/>
    <mergeCell ref="N42:O42"/>
    <mergeCell ref="P42:T42"/>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F11:G11"/>
    <mergeCell ref="R11:S11"/>
    <mergeCell ref="F12:G12"/>
    <mergeCell ref="N12:O12"/>
    <mergeCell ref="P12:Q12"/>
    <mergeCell ref="R12:S12"/>
    <mergeCell ref="A7:I7"/>
    <mergeCell ref="N7:U7"/>
    <mergeCell ref="N8:O8"/>
    <mergeCell ref="P8:Q8"/>
    <mergeCell ref="R8:S8"/>
    <mergeCell ref="T8:U8"/>
    <mergeCell ref="B1:I1"/>
    <mergeCell ref="O1:U1"/>
    <mergeCell ref="N2:U2"/>
    <mergeCell ref="N3:U3"/>
    <mergeCell ref="A4:B4"/>
    <mergeCell ref="C4:E4"/>
    <mergeCell ref="N4:O4"/>
    <mergeCell ref="P4:Q4"/>
    <mergeCell ref="T9:U9"/>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V246"/>
  <sheetViews>
    <sheetView topLeftCell="A83" workbookViewId="0"/>
  </sheetViews>
  <sheetFormatPr defaultColWidth="9.140625" defaultRowHeight="15.75" x14ac:dyDescent="0.25"/>
  <cols>
    <col min="1" max="1" width="10.28515625" style="631"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31"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76" t="s">
        <v>15</v>
      </c>
      <c r="C1" s="777"/>
      <c r="D1" s="777"/>
      <c r="E1" s="777"/>
      <c r="F1" s="777"/>
      <c r="G1" s="777"/>
      <c r="H1" s="777"/>
      <c r="I1" s="777"/>
      <c r="J1" s="135"/>
      <c r="K1" s="135"/>
      <c r="L1" s="135"/>
      <c r="N1" s="82">
        <f>A1</f>
        <v>50</v>
      </c>
      <c r="O1" s="810" t="s">
        <v>15</v>
      </c>
      <c r="P1" s="811"/>
      <c r="Q1" s="811"/>
      <c r="R1" s="811"/>
      <c r="S1" s="811"/>
      <c r="T1" s="811"/>
      <c r="U1" s="811"/>
    </row>
    <row r="2" spans="1:21" ht="21" x14ac:dyDescent="0.35">
      <c r="A2" s="1" t="s">
        <v>583</v>
      </c>
      <c r="B2" s="2"/>
      <c r="C2" s="2"/>
      <c r="D2" s="2"/>
      <c r="E2" s="2"/>
      <c r="F2" s="2"/>
      <c r="G2" s="2"/>
      <c r="H2" s="2"/>
      <c r="I2" s="2"/>
      <c r="N2" s="812" t="s">
        <v>18</v>
      </c>
      <c r="O2" s="812"/>
      <c r="P2" s="812"/>
      <c r="Q2" s="812"/>
      <c r="R2" s="812"/>
      <c r="S2" s="812"/>
      <c r="T2" s="812"/>
      <c r="U2" s="812"/>
    </row>
    <row r="3" spans="1:21" x14ac:dyDescent="0.25">
      <c r="A3" s="253"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652"/>
      <c r="O5" s="652"/>
      <c r="P5" s="653"/>
      <c r="Q5" s="653"/>
      <c r="R5" s="5"/>
      <c r="S5" s="5"/>
      <c r="T5" s="5"/>
      <c r="U5" s="5"/>
    </row>
    <row r="6" spans="1:21" ht="12" customHeight="1" x14ac:dyDescent="0.25">
      <c r="A6" s="654"/>
      <c r="B6" s="654"/>
      <c r="C6" s="629"/>
      <c r="D6" s="629"/>
      <c r="E6" s="629"/>
      <c r="F6" s="4"/>
      <c r="G6" s="4"/>
      <c r="H6" s="4"/>
      <c r="I6" s="4"/>
      <c r="N6" s="652"/>
      <c r="O6" s="652"/>
      <c r="P6" s="653"/>
      <c r="Q6" s="653"/>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v>5330.98</v>
      </c>
      <c r="D8" s="86"/>
      <c r="E8" s="87"/>
      <c r="F8" s="84"/>
      <c r="G8" s="85" t="s">
        <v>455</v>
      </c>
      <c r="H8" s="286">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v>1</v>
      </c>
      <c r="I9" s="75"/>
      <c r="N9" s="655"/>
      <c r="O9" s="655"/>
      <c r="P9" s="656"/>
      <c r="Q9" s="656"/>
      <c r="R9" s="650" t="s">
        <v>454</v>
      </c>
      <c r="S9" s="650"/>
      <c r="T9" s="816">
        <f>H9</f>
        <v>1</v>
      </c>
      <c r="U9" s="816"/>
    </row>
    <row r="10" spans="1:21" x14ac:dyDescent="0.25">
      <c r="A10" s="7"/>
      <c r="B10" s="7" t="s">
        <v>328</v>
      </c>
      <c r="C10" s="8" t="s">
        <v>328</v>
      </c>
      <c r="D10" s="8" t="s">
        <v>328</v>
      </c>
      <c r="E10" s="8"/>
      <c r="F10" s="9"/>
      <c r="G10" s="9"/>
      <c r="H10" s="10"/>
      <c r="I10" s="341" t="s">
        <v>574</v>
      </c>
      <c r="N10" s="655"/>
      <c r="O10" s="655"/>
      <c r="P10" s="656"/>
      <c r="Q10" s="656"/>
      <c r="R10" s="14"/>
      <c r="S10" s="14"/>
      <c r="T10" s="15"/>
      <c r="U10" s="410" t="str">
        <f>I10</f>
        <v>2024-25</v>
      </c>
    </row>
    <row r="11" spans="1:21" x14ac:dyDescent="0.25">
      <c r="A11" s="7"/>
      <c r="B11" s="7"/>
      <c r="C11" s="88" t="s">
        <v>581</v>
      </c>
      <c r="D11" s="349" t="s">
        <v>582</v>
      </c>
      <c r="E11" s="89" t="s">
        <v>8</v>
      </c>
      <c r="F11" s="781" t="s">
        <v>1</v>
      </c>
      <c r="G11" s="781"/>
      <c r="H11" s="10" t="s">
        <v>60</v>
      </c>
      <c r="I11" s="11" t="s">
        <v>27</v>
      </c>
      <c r="N11" s="655"/>
      <c r="O11" s="655"/>
      <c r="P11" s="656"/>
      <c r="Q11" s="656"/>
      <c r="R11" s="817" t="s">
        <v>1</v>
      </c>
      <c r="S11" s="817"/>
      <c r="T11" s="15" t="s">
        <v>60</v>
      </c>
      <c r="U11" s="16" t="s">
        <v>27</v>
      </c>
    </row>
    <row r="12" spans="1:21" ht="15.75" customHeight="1" x14ac:dyDescent="0.25">
      <c r="A12" s="36" t="s">
        <v>1</v>
      </c>
      <c r="B12" s="36"/>
      <c r="C12" s="340" t="s">
        <v>2</v>
      </c>
      <c r="D12" s="340" t="s">
        <v>2</v>
      </c>
      <c r="E12" s="9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630"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IF(D$30=0,C18*2,C18+D18)</f>
        <v>0</v>
      </c>
      <c r="F18" s="833">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1</v>
      </c>
      <c r="D19" s="143">
        <v>0</v>
      </c>
      <c r="E19" s="116">
        <f t="shared" si="1"/>
        <v>2</v>
      </c>
      <c r="F19" s="833">
        <v>0.97799999999999998</v>
      </c>
      <c r="G19" s="833"/>
      <c r="H19" s="80">
        <f>ROUND(E19*F19,4)</f>
        <v>1.956</v>
      </c>
      <c r="I19" s="101">
        <f>ROUND(ROUND(ROUND(H19*$C$8,4)*($H$8),2)*(MAX($H$9,1)),2)</f>
        <v>10852.83</v>
      </c>
      <c r="J19" s="65" t="str">
        <f>IF(ROUND(E19,2)=ROUND(SUM(E63:E65),2)," ","CHECK 4-8 LINES BELOW")</f>
        <v xml:space="preserve"> </v>
      </c>
      <c r="N19" s="834" t="s">
        <v>25</v>
      </c>
      <c r="O19" s="834"/>
      <c r="P19" s="831">
        <f t="shared" si="0"/>
        <v>2</v>
      </c>
      <c r="Q19" s="831"/>
      <c r="R19" s="835">
        <v>1</v>
      </c>
      <c r="S19" s="835"/>
      <c r="T19" s="95">
        <f t="shared" si="4"/>
        <v>2</v>
      </c>
      <c r="U19" s="523">
        <f t="shared" si="5"/>
        <v>11096.97</v>
      </c>
    </row>
    <row r="20" spans="1:21" x14ac:dyDescent="0.25">
      <c r="A20" s="788" t="s">
        <v>79</v>
      </c>
      <c r="B20" s="788"/>
      <c r="C20" s="143">
        <v>3.5</v>
      </c>
      <c r="D20" s="143">
        <v>0</v>
      </c>
      <c r="E20" s="116">
        <f t="shared" si="1"/>
        <v>7</v>
      </c>
      <c r="F20" s="833">
        <v>3.6970000000000001</v>
      </c>
      <c r="G20" s="833"/>
      <c r="H20" s="80">
        <f t="shared" si="2"/>
        <v>25.879000000000001</v>
      </c>
      <c r="I20" s="101">
        <f t="shared" si="3"/>
        <v>143589.22</v>
      </c>
      <c r="N20" s="834" t="s">
        <v>79</v>
      </c>
      <c r="O20" s="834"/>
      <c r="P20" s="831">
        <f t="shared" si="0"/>
        <v>7</v>
      </c>
      <c r="Q20" s="831"/>
      <c r="R20" s="835">
        <v>1</v>
      </c>
      <c r="S20" s="835"/>
      <c r="T20" s="95">
        <f t="shared" si="4"/>
        <v>7</v>
      </c>
      <c r="U20" s="524">
        <f t="shared" si="5"/>
        <v>38839.39</v>
      </c>
    </row>
    <row r="21" spans="1:21" x14ac:dyDescent="0.25">
      <c r="A21" s="788" t="s">
        <v>80</v>
      </c>
      <c r="B21" s="788"/>
      <c r="C21" s="143">
        <v>1</v>
      </c>
      <c r="D21" s="143">
        <v>0</v>
      </c>
      <c r="E21" s="116">
        <f t="shared" si="1"/>
        <v>2</v>
      </c>
      <c r="F21" s="833">
        <v>3.6970000000000001</v>
      </c>
      <c r="G21" s="833"/>
      <c r="H21" s="80">
        <f t="shared" si="2"/>
        <v>7.3940000000000001</v>
      </c>
      <c r="I21" s="101">
        <f t="shared" si="3"/>
        <v>41025.49</v>
      </c>
      <c r="N21" s="834" t="s">
        <v>80</v>
      </c>
      <c r="O21" s="834"/>
      <c r="P21" s="831">
        <f t="shared" si="0"/>
        <v>2</v>
      </c>
      <c r="Q21" s="831"/>
      <c r="R21" s="835">
        <v>1</v>
      </c>
      <c r="S21" s="835"/>
      <c r="T21" s="95">
        <f t="shared" si="4"/>
        <v>2</v>
      </c>
      <c r="U21" s="524">
        <f t="shared" si="5"/>
        <v>11096.97</v>
      </c>
    </row>
    <row r="22" spans="1:21" x14ac:dyDescent="0.25">
      <c r="A22" s="788" t="s">
        <v>81</v>
      </c>
      <c r="B22" s="788"/>
      <c r="C22" s="143">
        <v>0</v>
      </c>
      <c r="D22" s="143">
        <v>0</v>
      </c>
      <c r="E22" s="116">
        <f t="shared" si="1"/>
        <v>0</v>
      </c>
      <c r="F22" s="833">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v>1.1919999999999999</v>
      </c>
      <c r="G26" s="833"/>
      <c r="H26" s="80">
        <f t="shared" si="2"/>
        <v>0</v>
      </c>
      <c r="I26" s="101">
        <f t="shared" si="3"/>
        <v>0</v>
      </c>
      <c r="L26" s="250"/>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v>1.1919999999999999</v>
      </c>
      <c r="G27" s="833"/>
      <c r="H27" s="80">
        <f t="shared" si="2"/>
        <v>0</v>
      </c>
      <c r="I27" s="101">
        <f t="shared" si="3"/>
        <v>0</v>
      </c>
      <c r="L27" s="250"/>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5.5</v>
      </c>
      <c r="D30" s="94">
        <f>SUM(D14:D29)</f>
        <v>0</v>
      </c>
      <c r="E30" s="94">
        <f>SUM(E14:E29)</f>
        <v>11</v>
      </c>
      <c r="F30" s="792"/>
      <c r="G30" s="792"/>
      <c r="H30" s="99">
        <f>SUM(H14:H29)</f>
        <v>35.228999999999999</v>
      </c>
      <c r="I30" s="94">
        <f>SUM(I14:I29)</f>
        <v>195467.53999999998</v>
      </c>
      <c r="N30" s="838" t="s">
        <v>5</v>
      </c>
      <c r="O30" s="838"/>
      <c r="P30" s="839">
        <f>SUM(P14:P29)</f>
        <v>11</v>
      </c>
      <c r="Q30" s="839"/>
      <c r="R30" s="840"/>
      <c r="S30" s="840"/>
      <c r="T30" s="100">
        <f>SUM(T14:T29)</f>
        <v>11</v>
      </c>
      <c r="U30" s="524">
        <f>SUM(U14:U29)</f>
        <v>61033.33</v>
      </c>
    </row>
    <row r="31" spans="1:21" hidden="1" x14ac:dyDescent="0.25">
      <c r="A31" s="635"/>
      <c r="B31" s="635"/>
      <c r="C31" s="101"/>
      <c r="D31" s="101"/>
      <c r="E31" s="101"/>
      <c r="F31" s="632"/>
      <c r="G31" s="632"/>
      <c r="H31" s="80"/>
      <c r="I31" s="101"/>
      <c r="N31" s="639"/>
      <c r="O31" s="639"/>
      <c r="P31" s="29"/>
      <c r="Q31" s="29"/>
      <c r="R31" s="645"/>
      <c r="S31" s="645"/>
      <c r="T31" s="102"/>
      <c r="U31" s="103"/>
    </row>
    <row r="32" spans="1:21" hidden="1" x14ac:dyDescent="0.25">
      <c r="A32" s="281" t="s">
        <v>251</v>
      </c>
      <c r="B32" s="635"/>
      <c r="C32" s="101"/>
      <c r="D32" s="101"/>
      <c r="E32" s="101"/>
      <c r="F32" s="632"/>
      <c r="G32" s="632"/>
      <c r="H32" s="80"/>
      <c r="I32" s="101"/>
      <c r="N32" s="639"/>
      <c r="O32" s="639"/>
      <c r="P32" s="29"/>
      <c r="Q32" s="29"/>
      <c r="R32" s="645"/>
      <c r="S32" s="645"/>
      <c r="T32" s="102"/>
      <c r="U32" s="103"/>
    </row>
    <row r="33" spans="1:21" hidden="1" x14ac:dyDescent="0.25">
      <c r="A33" s="146"/>
      <c r="B33" s="635"/>
      <c r="C33" s="101"/>
      <c r="D33" s="101"/>
      <c r="E33" s="101"/>
      <c r="F33" s="632"/>
      <c r="G33" s="632"/>
      <c r="H33" s="80"/>
      <c r="I33" s="101"/>
      <c r="N33" s="639"/>
      <c r="O33" s="639"/>
      <c r="P33" s="29"/>
      <c r="Q33" s="29"/>
      <c r="R33" s="645"/>
      <c r="S33" s="645"/>
      <c r="T33" s="102"/>
      <c r="U33" s="103"/>
    </row>
    <row r="34" spans="1:21" hidden="1" x14ac:dyDescent="0.25">
      <c r="A34" s="146"/>
      <c r="B34" s="635"/>
      <c r="C34" s="101"/>
      <c r="D34" s="101"/>
      <c r="E34" s="101"/>
      <c r="F34" s="843" t="s">
        <v>232</v>
      </c>
      <c r="G34" s="843"/>
      <c r="H34" s="843"/>
      <c r="I34" s="101"/>
      <c r="N34" s="639"/>
      <c r="O34" s="639"/>
      <c r="P34" s="29"/>
      <c r="Q34" s="29"/>
      <c r="R34" s="645"/>
      <c r="S34" s="645"/>
      <c r="T34" s="102"/>
      <c r="U34" s="103"/>
    </row>
    <row r="35" spans="1:21" ht="15.6" hidden="1" customHeight="1" x14ac:dyDescent="0.25">
      <c r="A35" s="3"/>
      <c r="B35" s="631"/>
      <c r="C35" s="631"/>
      <c r="D35" s="631"/>
      <c r="E35" s="631"/>
      <c r="F35" s="843"/>
      <c r="G35" s="843"/>
      <c r="H35" s="843"/>
      <c r="I35" s="24" t="str">
        <f>I10</f>
        <v>2024-25</v>
      </c>
      <c r="N35" s="813" t="s">
        <v>26</v>
      </c>
      <c r="O35" s="813"/>
      <c r="P35" s="813"/>
      <c r="Q35" s="813"/>
      <c r="R35" s="813"/>
      <c r="S35" s="813"/>
      <c r="T35" s="813"/>
      <c r="U35" s="25" t="str">
        <f>I35</f>
        <v>2024-25</v>
      </c>
    </row>
    <row r="36" spans="1:21" hidden="1" x14ac:dyDescent="0.25">
      <c r="A36" s="635"/>
      <c r="B36" s="635"/>
      <c r="C36" s="88" t="s">
        <v>347</v>
      </c>
      <c r="D36" s="88"/>
      <c r="E36" s="89" t="s">
        <v>8</v>
      </c>
      <c r="F36" s="843"/>
      <c r="G36" s="843"/>
      <c r="H36" s="843"/>
      <c r="I36" s="24" t="s">
        <v>27</v>
      </c>
      <c r="N36" s="639"/>
      <c r="O36" s="639"/>
      <c r="P36" s="29"/>
      <c r="Q36" s="29"/>
      <c r="R36" s="645"/>
      <c r="S36" s="645"/>
      <c r="T36" s="102"/>
      <c r="U36" s="25" t="s">
        <v>27</v>
      </c>
    </row>
    <row r="37" spans="1:21" ht="26.25" hidden="1" x14ac:dyDescent="0.25">
      <c r="A37" s="782" t="s">
        <v>50</v>
      </c>
      <c r="B37" s="782"/>
      <c r="C37" s="340" t="s">
        <v>2</v>
      </c>
      <c r="D37" s="340"/>
      <c r="E37" s="90" t="s">
        <v>2</v>
      </c>
      <c r="F37" s="844"/>
      <c r="G37" s="844"/>
      <c r="H37" s="844"/>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639"/>
      <c r="O45" s="639"/>
      <c r="P45" s="639"/>
      <c r="Q45" s="639"/>
      <c r="R45" s="33"/>
      <c r="S45" s="645"/>
      <c r="T45" s="645"/>
      <c r="U45" s="103"/>
    </row>
    <row r="46" spans="1:21" ht="16.5" hidden="1" thickBot="1" x14ac:dyDescent="0.3">
      <c r="A46" s="3"/>
      <c r="B46" s="52" t="s">
        <v>96</v>
      </c>
      <c r="E46" s="152">
        <f>H30+E44</f>
        <v>35.228999999999999</v>
      </c>
      <c r="F46" s="34"/>
      <c r="G46" s="106"/>
      <c r="H46" s="107" t="s">
        <v>98</v>
      </c>
      <c r="I46" s="94">
        <f>SUM(I44,I30)</f>
        <v>195467.53999999998</v>
      </c>
      <c r="N46" s="846" t="s">
        <v>44</v>
      </c>
      <c r="O46" s="846"/>
      <c r="P46" s="846"/>
      <c r="Q46" s="846"/>
      <c r="R46" s="35">
        <f>R44+T30</f>
        <v>11</v>
      </c>
      <c r="S46" s="840" t="s">
        <v>42</v>
      </c>
      <c r="T46" s="840"/>
      <c r="U46" s="108">
        <f>SUM(U44,U30)</f>
        <v>61033.33</v>
      </c>
    </row>
    <row r="47" spans="1:21" x14ac:dyDescent="0.25">
      <c r="A47" s="635"/>
      <c r="B47" s="635"/>
      <c r="C47" s="635"/>
      <c r="D47" s="635"/>
      <c r="E47" s="635"/>
      <c r="F47" s="34"/>
      <c r="G47" s="632"/>
      <c r="H47" s="632"/>
      <c r="I47" s="101"/>
      <c r="N47" s="639"/>
      <c r="O47" s="639"/>
      <c r="P47" s="639"/>
      <c r="Q47" s="639"/>
      <c r="R47" s="35"/>
      <c r="S47" s="645"/>
      <c r="T47" s="645"/>
      <c r="U47" s="103"/>
    </row>
    <row r="48" spans="1:21" x14ac:dyDescent="0.25">
      <c r="A48" s="633" t="s">
        <v>458</v>
      </c>
      <c r="B48" s="635"/>
      <c r="C48" s="635"/>
      <c r="D48" s="635"/>
      <c r="E48" s="635"/>
      <c r="F48" s="34"/>
      <c r="G48" s="632"/>
      <c r="H48" s="632"/>
      <c r="I48" s="101"/>
      <c r="N48" s="637" t="s">
        <v>458</v>
      </c>
      <c r="O48" s="639"/>
      <c r="P48" s="639"/>
      <c r="Q48" s="639"/>
      <c r="R48" s="35"/>
      <c r="S48" s="645"/>
      <c r="T48" s="645"/>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3" t="s">
        <v>592</v>
      </c>
      <c r="F50" s="444"/>
      <c r="G50" s="445"/>
      <c r="H50" s="445"/>
      <c r="I50" s="446"/>
      <c r="N50" s="464" t="s">
        <v>592</v>
      </c>
      <c r="O50" s="447"/>
      <c r="P50" s="447"/>
      <c r="Q50" s="447"/>
      <c r="R50" s="448"/>
      <c r="S50" s="449"/>
      <c r="T50" s="449"/>
      <c r="U50" s="456"/>
    </row>
    <row r="51" spans="1:22" x14ac:dyDescent="0.25">
      <c r="A51" s="441"/>
      <c r="B51" s="3" t="s">
        <v>577</v>
      </c>
      <c r="C51" s="635"/>
      <c r="D51" s="635"/>
      <c r="E51" s="624" t="s">
        <v>461</v>
      </c>
      <c r="F51" s="452">
        <v>195467.53999999998</v>
      </c>
      <c r="G51" s="109" t="s">
        <v>6</v>
      </c>
      <c r="H51" s="453">
        <v>5.5899999999999998E-2</v>
      </c>
      <c r="I51" s="101">
        <f>ROUND(F51*H51,2)</f>
        <v>10926.64</v>
      </c>
      <c r="N51" s="458"/>
      <c r="O51" s="51" t="s">
        <v>576</v>
      </c>
      <c r="P51" s="639"/>
      <c r="Q51" s="44" t="s">
        <v>461</v>
      </c>
      <c r="R51" s="460">
        <f>U30</f>
        <v>61033.33</v>
      </c>
      <c r="S51" s="461" t="s">
        <v>6</v>
      </c>
      <c r="T51" s="462">
        <v>5.5899999999999998E-2</v>
      </c>
      <c r="U51" s="454">
        <f>ROUND(R51*T51,2)</f>
        <v>3411.76</v>
      </c>
    </row>
    <row r="52" spans="1:22" x14ac:dyDescent="0.25">
      <c r="A52" s="635"/>
      <c r="B52" s="633" t="s">
        <v>580</v>
      </c>
      <c r="C52" s="635"/>
      <c r="D52" s="635"/>
      <c r="E52" s="624" t="s">
        <v>461</v>
      </c>
      <c r="F52" s="452">
        <v>195467.53999999998</v>
      </c>
      <c r="G52" s="109" t="s">
        <v>6</v>
      </c>
      <c r="H52" s="453">
        <v>1.0699999999999999E-2</v>
      </c>
      <c r="I52" s="101">
        <v>0</v>
      </c>
      <c r="N52" s="639"/>
      <c r="O52" s="637" t="s">
        <v>579</v>
      </c>
      <c r="P52" s="639"/>
      <c r="Q52" s="44" t="s">
        <v>461</v>
      </c>
      <c r="R52" s="460">
        <f>U30</f>
        <v>61033.33</v>
      </c>
      <c r="S52" s="461" t="s">
        <v>6</v>
      </c>
      <c r="T52" s="462">
        <v>1.0699999999999999E-2</v>
      </c>
      <c r="U52" s="463">
        <f>ROUND(R52*T52,2)</f>
        <v>653.05999999999995</v>
      </c>
    </row>
    <row r="53" spans="1:22" x14ac:dyDescent="0.25">
      <c r="A53" s="635"/>
      <c r="B53" s="633" t="s">
        <v>462</v>
      </c>
      <c r="C53" s="635"/>
      <c r="D53" s="635"/>
      <c r="E53" s="624"/>
      <c r="F53" s="452"/>
      <c r="G53" s="109"/>
      <c r="H53" s="453"/>
      <c r="I53" s="97">
        <f>SUM(I51:I52)</f>
        <v>10926.64</v>
      </c>
      <c r="N53" s="639"/>
      <c r="O53" s="637" t="s">
        <v>462</v>
      </c>
      <c r="P53" s="639"/>
      <c r="Q53" s="44"/>
      <c r="R53" s="460"/>
      <c r="S53" s="461"/>
      <c r="T53" s="462"/>
      <c r="U53" s="454">
        <f>SUM(U51:U52)</f>
        <v>4064.82</v>
      </c>
    </row>
    <row r="54" spans="1:22" x14ac:dyDescent="0.25">
      <c r="A54" s="241"/>
      <c r="C54" s="627" t="s">
        <v>505</v>
      </c>
      <c r="D54" s="627" t="s">
        <v>505</v>
      </c>
      <c r="G54" s="42"/>
      <c r="H54" s="114"/>
      <c r="I54" s="114"/>
      <c r="N54" s="512"/>
      <c r="O54" s="51"/>
      <c r="P54" s="40" t="s">
        <v>505</v>
      </c>
      <c r="Q54" s="40" t="s">
        <v>505</v>
      </c>
      <c r="R54" s="51"/>
      <c r="S54" s="51"/>
      <c r="T54" s="513"/>
      <c r="U54" s="514"/>
      <c r="V54" s="114"/>
    </row>
    <row r="55" spans="1:22" x14ac:dyDescent="0.25">
      <c r="A55" s="635"/>
      <c r="B55" s="635"/>
      <c r="C55" s="88" t="s">
        <v>581</v>
      </c>
      <c r="D55" s="349" t="s">
        <v>582</v>
      </c>
      <c r="E55" s="89" t="s">
        <v>8</v>
      </c>
      <c r="F55" s="46" t="s">
        <v>499</v>
      </c>
      <c r="G55" s="109" t="s">
        <v>500</v>
      </c>
      <c r="H55" s="505" t="s">
        <v>501</v>
      </c>
      <c r="I55" s="101"/>
      <c r="N55" s="639"/>
      <c r="O55" s="639"/>
      <c r="P55" s="515"/>
      <c r="Q55" s="516"/>
      <c r="R55" s="517"/>
      <c r="S55" s="519" t="s">
        <v>500</v>
      </c>
      <c r="T55" s="520" t="s">
        <v>501</v>
      </c>
      <c r="U55" s="518"/>
      <c r="V55" s="475"/>
    </row>
    <row r="56" spans="1:22" x14ac:dyDescent="0.25">
      <c r="A56" s="36" t="s">
        <v>502</v>
      </c>
      <c r="B56" s="36"/>
      <c r="C56" s="340" t="s">
        <v>2</v>
      </c>
      <c r="D56" s="340" t="s">
        <v>2</v>
      </c>
      <c r="E56" s="90" t="s">
        <v>2</v>
      </c>
      <c r="F56" s="630" t="s">
        <v>503</v>
      </c>
      <c r="G56" s="626" t="s">
        <v>503</v>
      </c>
      <c r="H56" s="506" t="s">
        <v>504</v>
      </c>
      <c r="I56" s="36"/>
      <c r="N56" s="510" t="s">
        <v>502</v>
      </c>
      <c r="O56" s="510"/>
      <c r="P56" s="847" t="s">
        <v>2</v>
      </c>
      <c r="Q56" s="847"/>
      <c r="R56" s="510" t="s">
        <v>508</v>
      </c>
      <c r="S56" s="651" t="s">
        <v>503</v>
      </c>
      <c r="T56" s="521" t="s">
        <v>504</v>
      </c>
      <c r="U56" s="510"/>
      <c r="V56" s="509"/>
    </row>
    <row r="57" spans="1:22" x14ac:dyDescent="0.25">
      <c r="A57" s="798" t="s">
        <v>506</v>
      </c>
      <c r="B57" s="798"/>
      <c r="C57" s="143">
        <v>0</v>
      </c>
      <c r="D57" s="143">
        <v>0</v>
      </c>
      <c r="E57" s="116">
        <f t="shared" ref="E57:E59" si="10">IF(D$72=0,C57*2,C57+D57)</f>
        <v>0</v>
      </c>
      <c r="F57" s="625" t="s">
        <v>498</v>
      </c>
      <c r="G57" s="625">
        <v>251</v>
      </c>
      <c r="H57" s="508">
        <v>1047</v>
      </c>
      <c r="I57" s="101">
        <f>ROUND(E57*H57,2)</f>
        <v>0</v>
      </c>
      <c r="N57" s="848" t="s">
        <v>506</v>
      </c>
      <c r="O57" s="848"/>
      <c r="P57" s="850"/>
      <c r="Q57" s="850"/>
      <c r="R57" s="647" t="s">
        <v>498</v>
      </c>
      <c r="S57" s="647">
        <v>251</v>
      </c>
      <c r="T57" s="511">
        <f>H57</f>
        <v>1047</v>
      </c>
      <c r="U57" s="525">
        <f>ROUND(P57*T57,2)</f>
        <v>0</v>
      </c>
      <c r="V57" s="475"/>
    </row>
    <row r="58" spans="1:22" x14ac:dyDescent="0.25">
      <c r="A58" s="799"/>
      <c r="B58" s="799"/>
      <c r="C58" s="143">
        <v>0</v>
      </c>
      <c r="D58" s="143">
        <v>0</v>
      </c>
      <c r="E58" s="116">
        <f t="shared" si="10"/>
        <v>0</v>
      </c>
      <c r="F58" s="625" t="s">
        <v>498</v>
      </c>
      <c r="G58" s="625">
        <v>252</v>
      </c>
      <c r="H58" s="508">
        <v>3380</v>
      </c>
      <c r="I58" s="101">
        <f t="shared" ref="I58:I65" si="11">ROUND(E58*H58,2)</f>
        <v>0</v>
      </c>
      <c r="N58" s="849"/>
      <c r="O58" s="849"/>
      <c r="P58" s="851"/>
      <c r="Q58" s="851"/>
      <c r="R58" s="647" t="s">
        <v>498</v>
      </c>
      <c r="S58" s="647">
        <v>252</v>
      </c>
      <c r="T58" s="511">
        <f t="shared" ref="T58:T65" si="12">H58</f>
        <v>3380</v>
      </c>
      <c r="U58" s="525">
        <f t="shared" ref="U58:U65" si="13">ROUND(P58*T58,2)</f>
        <v>0</v>
      </c>
      <c r="V58" s="475"/>
    </row>
    <row r="59" spans="1:22" x14ac:dyDescent="0.25">
      <c r="A59" s="799"/>
      <c r="B59" s="799"/>
      <c r="C59" s="143">
        <v>0</v>
      </c>
      <c r="D59" s="143">
        <v>0</v>
      </c>
      <c r="E59" s="116">
        <f t="shared" si="10"/>
        <v>0</v>
      </c>
      <c r="F59" s="625" t="s">
        <v>498</v>
      </c>
      <c r="G59" s="625">
        <v>253</v>
      </c>
      <c r="H59" s="508">
        <v>6896</v>
      </c>
      <c r="I59" s="101">
        <f t="shared" si="11"/>
        <v>0</v>
      </c>
      <c r="N59" s="849"/>
      <c r="O59" s="849"/>
      <c r="P59" s="851"/>
      <c r="Q59" s="851"/>
      <c r="R59" s="647" t="s">
        <v>498</v>
      </c>
      <c r="S59" s="647">
        <v>253</v>
      </c>
      <c r="T59" s="511">
        <f t="shared" si="12"/>
        <v>6896</v>
      </c>
      <c r="U59" s="525">
        <f t="shared" si="13"/>
        <v>0</v>
      </c>
      <c r="V59" s="475"/>
    </row>
    <row r="60" spans="1:22" x14ac:dyDescent="0.25">
      <c r="A60" s="799"/>
      <c r="B60" s="799"/>
      <c r="C60" s="143">
        <v>0</v>
      </c>
      <c r="D60" s="143">
        <v>0</v>
      </c>
      <c r="E60" s="116">
        <f t="shared" ref="E60:E65" si="14">IF(D$66=0,C60*2,C60+D60)</f>
        <v>0</v>
      </c>
      <c r="F60" s="627" t="s">
        <v>13</v>
      </c>
      <c r="G60" s="625">
        <v>251</v>
      </c>
      <c r="H60" s="508">
        <v>1173</v>
      </c>
      <c r="I60" s="101">
        <f t="shared" si="11"/>
        <v>0</v>
      </c>
      <c r="N60" s="849"/>
      <c r="O60" s="849"/>
      <c r="P60" s="851"/>
      <c r="Q60" s="851"/>
      <c r="R60" s="40" t="s">
        <v>13</v>
      </c>
      <c r="S60" s="647">
        <v>251</v>
      </c>
      <c r="T60" s="511">
        <f t="shared" si="12"/>
        <v>1173</v>
      </c>
      <c r="U60" s="525">
        <f t="shared" si="13"/>
        <v>0</v>
      </c>
      <c r="V60" s="475"/>
    </row>
    <row r="61" spans="1:22" x14ac:dyDescent="0.25">
      <c r="A61" s="799"/>
      <c r="B61" s="799"/>
      <c r="C61" s="143">
        <v>0</v>
      </c>
      <c r="D61" s="143">
        <v>0</v>
      </c>
      <c r="E61" s="116">
        <f t="shared" si="14"/>
        <v>0</v>
      </c>
      <c r="F61" s="627" t="s">
        <v>13</v>
      </c>
      <c r="G61" s="625">
        <v>252</v>
      </c>
      <c r="H61" s="508">
        <v>3506</v>
      </c>
      <c r="I61" s="101">
        <f t="shared" si="11"/>
        <v>0</v>
      </c>
      <c r="N61" s="849"/>
      <c r="O61" s="849"/>
      <c r="P61" s="851"/>
      <c r="Q61" s="851"/>
      <c r="R61" s="40" t="s">
        <v>13</v>
      </c>
      <c r="S61" s="647">
        <v>252</v>
      </c>
      <c r="T61" s="511">
        <f t="shared" si="12"/>
        <v>3506</v>
      </c>
      <c r="U61" s="525">
        <f t="shared" si="13"/>
        <v>0</v>
      </c>
      <c r="V61" s="475"/>
    </row>
    <row r="62" spans="1:22" x14ac:dyDescent="0.25">
      <c r="A62" s="799"/>
      <c r="B62" s="799"/>
      <c r="C62" s="143">
        <v>0</v>
      </c>
      <c r="D62" s="143">
        <v>0</v>
      </c>
      <c r="E62" s="116">
        <f t="shared" si="14"/>
        <v>0</v>
      </c>
      <c r="F62" s="627" t="s">
        <v>13</v>
      </c>
      <c r="G62" s="625">
        <v>253</v>
      </c>
      <c r="H62" s="508">
        <v>7023</v>
      </c>
      <c r="I62" s="101">
        <f t="shared" si="11"/>
        <v>0</v>
      </c>
      <c r="N62" s="849"/>
      <c r="O62" s="849"/>
      <c r="P62" s="851"/>
      <c r="Q62" s="851"/>
      <c r="R62" s="40" t="s">
        <v>13</v>
      </c>
      <c r="S62" s="647">
        <v>253</v>
      </c>
      <c r="T62" s="511">
        <f t="shared" si="12"/>
        <v>7023</v>
      </c>
      <c r="U62" s="525">
        <f t="shared" si="13"/>
        <v>0</v>
      </c>
      <c r="V62" s="475"/>
    </row>
    <row r="63" spans="1:22" x14ac:dyDescent="0.25">
      <c r="A63" s="799"/>
      <c r="B63" s="799"/>
      <c r="C63" s="143">
        <v>1</v>
      </c>
      <c r="D63" s="143">
        <v>0</v>
      </c>
      <c r="E63" s="116">
        <f t="shared" si="14"/>
        <v>2</v>
      </c>
      <c r="F63" s="627" t="s">
        <v>14</v>
      </c>
      <c r="G63" s="625">
        <v>251</v>
      </c>
      <c r="H63" s="508">
        <v>835</v>
      </c>
      <c r="I63" s="101">
        <f>ROUND(E63*H63,2)</f>
        <v>1670</v>
      </c>
      <c r="N63" s="849"/>
      <c r="O63" s="849"/>
      <c r="P63" s="851"/>
      <c r="Q63" s="851"/>
      <c r="R63" s="40" t="s">
        <v>14</v>
      </c>
      <c r="S63" s="647">
        <v>251</v>
      </c>
      <c r="T63" s="511">
        <f t="shared" si="12"/>
        <v>835</v>
      </c>
      <c r="U63" s="525">
        <f t="shared" si="13"/>
        <v>0</v>
      </c>
      <c r="V63" s="475"/>
    </row>
    <row r="64" spans="1:22" x14ac:dyDescent="0.25">
      <c r="A64" s="799"/>
      <c r="B64" s="799"/>
      <c r="C64" s="143">
        <v>0</v>
      </c>
      <c r="D64" s="143">
        <v>0</v>
      </c>
      <c r="E64" s="116">
        <f t="shared" si="14"/>
        <v>0</v>
      </c>
      <c r="F64" s="627" t="s">
        <v>14</v>
      </c>
      <c r="G64" s="625">
        <v>252</v>
      </c>
      <c r="H64" s="508">
        <v>3168</v>
      </c>
      <c r="I64" s="101">
        <f t="shared" si="11"/>
        <v>0</v>
      </c>
      <c r="N64" s="849"/>
      <c r="O64" s="849"/>
      <c r="P64" s="851"/>
      <c r="Q64" s="851"/>
      <c r="R64" s="40" t="s">
        <v>14</v>
      </c>
      <c r="S64" s="647">
        <v>252</v>
      </c>
      <c r="T64" s="511">
        <f t="shared" si="12"/>
        <v>3168</v>
      </c>
      <c r="U64" s="525">
        <f t="shared" si="13"/>
        <v>0</v>
      </c>
      <c r="V64" s="475"/>
    </row>
    <row r="65" spans="1:22" ht="16.5" thickBot="1" x14ac:dyDescent="0.3">
      <c r="A65" s="799"/>
      <c r="B65" s="799"/>
      <c r="C65" s="143">
        <v>0</v>
      </c>
      <c r="D65" s="143">
        <v>0</v>
      </c>
      <c r="E65" s="116">
        <f t="shared" si="14"/>
        <v>0</v>
      </c>
      <c r="F65" s="627" t="s">
        <v>14</v>
      </c>
      <c r="G65" s="625">
        <v>253</v>
      </c>
      <c r="H65" s="508">
        <v>6685</v>
      </c>
      <c r="I65" s="101">
        <f t="shared" si="11"/>
        <v>0</v>
      </c>
      <c r="N65" s="849"/>
      <c r="O65" s="849"/>
      <c r="P65" s="857"/>
      <c r="Q65" s="857"/>
      <c r="R65" s="40" t="s">
        <v>14</v>
      </c>
      <c r="S65" s="647">
        <v>253</v>
      </c>
      <c r="T65" s="511">
        <f t="shared" si="12"/>
        <v>6685</v>
      </c>
      <c r="U65" s="526">
        <f t="shared" si="13"/>
        <v>0</v>
      </c>
      <c r="V65" s="475"/>
    </row>
    <row r="66" spans="1:22" ht="16.5" thickBot="1" x14ac:dyDescent="0.3">
      <c r="A66" s="241"/>
      <c r="C66" s="97">
        <f>SUM(C57:C65)</f>
        <v>1</v>
      </c>
      <c r="D66" s="97">
        <f>SUM(D57:D65)</f>
        <v>0</v>
      </c>
      <c r="E66" s="97">
        <f>SUM(E57:E65)</f>
        <v>2</v>
      </c>
      <c r="F66" s="800" t="s">
        <v>507</v>
      </c>
      <c r="G66" s="800"/>
      <c r="H66" s="800"/>
      <c r="I66" s="97">
        <f>SUM(I57:I65)</f>
        <v>1670</v>
      </c>
      <c r="N66" s="512"/>
      <c r="O66" s="51"/>
      <c r="P66" s="858">
        <f>SUM(P57:P65)</f>
        <v>0</v>
      </c>
      <c r="Q66" s="858"/>
      <c r="R66" s="846" t="s">
        <v>507</v>
      </c>
      <c r="S66" s="846"/>
      <c r="T66" s="846"/>
      <c r="U66" s="527">
        <f>SUM(U57:U65)</f>
        <v>0</v>
      </c>
      <c r="V66" s="475"/>
    </row>
    <row r="67" spans="1:22" x14ac:dyDescent="0.25">
      <c r="A67" s="241"/>
      <c r="C67" s="101"/>
      <c r="D67" s="101"/>
      <c r="E67" s="101"/>
      <c r="F67" s="635"/>
      <c r="G67" s="635"/>
      <c r="H67" s="635"/>
      <c r="I67" s="101"/>
      <c r="N67" s="638"/>
      <c r="O67" s="638"/>
      <c r="P67" s="638"/>
      <c r="Q67" s="638"/>
      <c r="R67" s="638"/>
      <c r="S67" s="638"/>
      <c r="T67" s="640"/>
      <c r="U67" s="640"/>
    </row>
    <row r="68" spans="1:22" x14ac:dyDescent="0.25">
      <c r="A68" s="633" t="s">
        <v>509</v>
      </c>
      <c r="N68" s="637" t="s">
        <v>517</v>
      </c>
      <c r="O68" s="51"/>
      <c r="P68" s="51"/>
      <c r="Q68" s="51"/>
      <c r="R68" s="51"/>
      <c r="S68" s="51"/>
      <c r="T68" s="51"/>
      <c r="U68" s="51"/>
    </row>
    <row r="69" spans="1:22" x14ac:dyDescent="0.25">
      <c r="A69" s="794" t="s">
        <v>463</v>
      </c>
      <c r="B69" s="788"/>
      <c r="C69" s="112">
        <f>E30</f>
        <v>11</v>
      </c>
      <c r="D69" s="775" t="s">
        <v>474</v>
      </c>
      <c r="E69" s="775"/>
      <c r="F69" s="775"/>
      <c r="G69" s="775"/>
      <c r="H69" s="287">
        <v>210935.24</v>
      </c>
      <c r="I69" s="113"/>
      <c r="N69" s="853" t="s">
        <v>467</v>
      </c>
      <c r="O69" s="834"/>
      <c r="P69" s="41">
        <f>P30</f>
        <v>11</v>
      </c>
      <c r="Q69" s="854" t="s">
        <v>469</v>
      </c>
      <c r="R69" s="855"/>
      <c r="S69" s="855"/>
      <c r="T69" s="856">
        <f>H69</f>
        <v>210935.24</v>
      </c>
      <c r="U69" s="856"/>
    </row>
    <row r="70" spans="1:22" x14ac:dyDescent="0.25">
      <c r="B70" s="631"/>
      <c r="G70" s="42" t="s">
        <v>12</v>
      </c>
      <c r="H70" s="114">
        <f>ROUND(C69/H69,6)</f>
        <v>5.1999999999999997E-5</v>
      </c>
      <c r="I70" s="115"/>
      <c r="N70" s="834"/>
      <c r="O70" s="834"/>
      <c r="P70" s="834"/>
      <c r="Q70" s="834"/>
      <c r="R70" s="834"/>
      <c r="S70" s="834"/>
      <c r="T70" s="852">
        <f>ROUND(P69/T69,6)</f>
        <v>5.1999999999999997E-5</v>
      </c>
      <c r="U70" s="852"/>
    </row>
    <row r="71" spans="1:22" x14ac:dyDescent="0.25">
      <c r="A71" s="633" t="s">
        <v>510</v>
      </c>
      <c r="N71" s="637" t="s">
        <v>518</v>
      </c>
      <c r="O71" s="51"/>
      <c r="P71" s="51"/>
      <c r="Q71" s="51"/>
      <c r="R71" s="51"/>
      <c r="S71" s="51"/>
      <c r="T71" s="51"/>
      <c r="U71" s="51"/>
    </row>
    <row r="72" spans="1:22" x14ac:dyDescent="0.25">
      <c r="A72" s="794" t="s">
        <v>464</v>
      </c>
      <c r="B72" s="788"/>
      <c r="C72" s="112">
        <f>H30</f>
        <v>35.228999999999999</v>
      </c>
      <c r="D72" s="775" t="s">
        <v>475</v>
      </c>
      <c r="E72" s="775"/>
      <c r="F72" s="775"/>
      <c r="G72" s="775"/>
      <c r="H72" s="288">
        <v>237601.62</v>
      </c>
      <c r="I72" s="116"/>
      <c r="N72" s="853" t="s">
        <v>468</v>
      </c>
      <c r="O72" s="834"/>
      <c r="P72" s="41">
        <f>T30</f>
        <v>11</v>
      </c>
      <c r="Q72" s="854" t="s">
        <v>470</v>
      </c>
      <c r="R72" s="855"/>
      <c r="S72" s="855"/>
      <c r="T72" s="856">
        <f>H72</f>
        <v>237601.62</v>
      </c>
      <c r="U72" s="856"/>
    </row>
    <row r="73" spans="1:22" x14ac:dyDescent="0.25">
      <c r="G73" s="42" t="s">
        <v>12</v>
      </c>
      <c r="H73" s="114">
        <f>ROUND(C72/H72,6)</f>
        <v>1.4799999999999999E-4</v>
      </c>
      <c r="I73" s="114"/>
      <c r="N73" s="834"/>
      <c r="O73" s="834"/>
      <c r="P73" s="834"/>
      <c r="Q73" s="834"/>
      <c r="R73" s="834"/>
      <c r="S73" s="834"/>
      <c r="T73" s="852">
        <f>ROUND(P72/T72,6)</f>
        <v>4.6E-5</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11</v>
      </c>
      <c r="D75" s="767" t="s">
        <v>476</v>
      </c>
      <c r="E75" s="767"/>
      <c r="F75" s="767"/>
      <c r="G75" s="767"/>
      <c r="H75" s="287">
        <v>186826.74</v>
      </c>
      <c r="I75" s="113"/>
      <c r="N75" s="853" t="s">
        <v>466</v>
      </c>
      <c r="O75" s="834"/>
      <c r="P75" s="41">
        <f>P30</f>
        <v>11</v>
      </c>
      <c r="Q75" s="861" t="s">
        <v>471</v>
      </c>
      <c r="R75" s="862"/>
      <c r="S75" s="862"/>
      <c r="T75" s="856">
        <f>H75</f>
        <v>186826.74</v>
      </c>
      <c r="U75" s="856"/>
    </row>
    <row r="76" spans="1:22" x14ac:dyDescent="0.25">
      <c r="B76" s="631"/>
      <c r="G76" s="42" t="s">
        <v>12</v>
      </c>
      <c r="H76" s="114">
        <f>ROUND(C75/H75,6)</f>
        <v>5.8999999999999998E-5</v>
      </c>
      <c r="I76" s="115"/>
      <c r="N76" s="834"/>
      <c r="O76" s="834"/>
      <c r="P76" s="834"/>
      <c r="Q76" s="834"/>
      <c r="R76" s="834"/>
      <c r="S76" s="834"/>
      <c r="T76" s="852">
        <f>ROUND(P75/T75,6)</f>
        <v>5.8999999999999998E-5</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11</v>
      </c>
      <c r="D78" s="795" t="s">
        <v>477</v>
      </c>
      <c r="E78" s="795"/>
      <c r="F78" s="795"/>
      <c r="G78" s="795"/>
      <c r="H78" s="287">
        <v>210630.63</v>
      </c>
      <c r="I78" s="113"/>
      <c r="N78" s="853" t="s">
        <v>466</v>
      </c>
      <c r="O78" s="834"/>
      <c r="P78" s="41">
        <f>P30</f>
        <v>11</v>
      </c>
      <c r="Q78" s="859" t="s">
        <v>472</v>
      </c>
      <c r="R78" s="860"/>
      <c r="S78" s="860"/>
      <c r="T78" s="856">
        <f>H78</f>
        <v>210630.63</v>
      </c>
      <c r="U78" s="856"/>
    </row>
    <row r="79" spans="1:22" x14ac:dyDescent="0.25">
      <c r="B79" s="631"/>
      <c r="G79" s="42" t="s">
        <v>12</v>
      </c>
      <c r="H79" s="114">
        <f>ROUND(C78/H78,6)</f>
        <v>5.1999999999999997E-5</v>
      </c>
      <c r="I79" s="115"/>
      <c r="N79" s="834"/>
      <c r="O79" s="834"/>
      <c r="P79" s="834"/>
      <c r="Q79" s="834"/>
      <c r="R79" s="834"/>
      <c r="S79" s="834"/>
      <c r="T79" s="852">
        <f>ROUND(P78/T78,6)</f>
        <v>5.1999999999999997E-5</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11</v>
      </c>
      <c r="D81" s="767" t="s">
        <v>478</v>
      </c>
      <c r="E81" s="767"/>
      <c r="F81" s="767"/>
      <c r="G81" s="767"/>
      <c r="H81" s="287">
        <v>186522.13</v>
      </c>
      <c r="I81" s="113"/>
      <c r="N81" s="853" t="s">
        <v>479</v>
      </c>
      <c r="O81" s="834"/>
      <c r="P81" s="41">
        <f>P30</f>
        <v>11</v>
      </c>
      <c r="Q81" s="861" t="s">
        <v>480</v>
      </c>
      <c r="R81" s="862"/>
      <c r="S81" s="862"/>
      <c r="T81" s="856">
        <f>H81</f>
        <v>186522.13</v>
      </c>
      <c r="U81" s="856"/>
    </row>
    <row r="82" spans="1:21" x14ac:dyDescent="0.25">
      <c r="B82" s="631"/>
      <c r="G82" s="42" t="s">
        <v>12</v>
      </c>
      <c r="H82" s="114">
        <f>ROUND(C81/H81,6)</f>
        <v>5.8999999999999998E-5</v>
      </c>
      <c r="I82" s="115"/>
      <c r="N82" s="834"/>
      <c r="O82" s="834"/>
      <c r="P82" s="834"/>
      <c r="Q82" s="834"/>
      <c r="R82" s="834"/>
      <c r="S82" s="834"/>
      <c r="T82" s="852">
        <f>ROUND(P81/T81,6)</f>
        <v>5.8999999999999998E-5</v>
      </c>
      <c r="U82" s="852"/>
    </row>
    <row r="83" spans="1:21" x14ac:dyDescent="0.25">
      <c r="A83" s="241"/>
      <c r="G83" s="42"/>
      <c r="H83" s="114"/>
      <c r="I83" s="114"/>
      <c r="N83" s="638"/>
      <c r="O83" s="638"/>
      <c r="P83" s="638"/>
      <c r="Q83" s="638"/>
      <c r="R83" s="638"/>
      <c r="S83" s="638"/>
      <c r="T83" s="640"/>
      <c r="U83" s="640"/>
    </row>
    <row r="84" spans="1:21" x14ac:dyDescent="0.25">
      <c r="A84" s="241"/>
      <c r="G84" s="42"/>
      <c r="H84" s="114"/>
      <c r="I84" s="114"/>
      <c r="N84" s="638"/>
      <c r="O84" s="638"/>
      <c r="P84" s="638"/>
      <c r="Q84" s="638"/>
      <c r="R84" s="638"/>
      <c r="S84" s="638"/>
      <c r="T84" s="640"/>
      <c r="U84" s="640"/>
    </row>
    <row r="85" spans="1:21" x14ac:dyDescent="0.25">
      <c r="A85" s="633" t="s">
        <v>514</v>
      </c>
      <c r="D85" s="631"/>
      <c r="E85" s="624" t="s">
        <v>316</v>
      </c>
      <c r="F85" s="289">
        <v>46301717</v>
      </c>
      <c r="G85" s="625" t="s">
        <v>6</v>
      </c>
      <c r="H85" s="473">
        <f>H79</f>
        <v>5.1999999999999997E-5</v>
      </c>
      <c r="I85" s="101">
        <f>ROUND(F85*H85,2)</f>
        <v>2407.69</v>
      </c>
      <c r="N85" s="637" t="s">
        <v>514</v>
      </c>
      <c r="O85" s="51"/>
      <c r="P85" s="51"/>
      <c r="Q85" s="44"/>
      <c r="R85" s="470">
        <f>F85</f>
        <v>46301717</v>
      </c>
      <c r="S85" s="647" t="s">
        <v>6</v>
      </c>
      <c r="T85" s="472">
        <f>T79</f>
        <v>5.1999999999999997E-5</v>
      </c>
      <c r="U85" s="524">
        <f>ROUND(R85*T85,2)</f>
        <v>2407.69</v>
      </c>
    </row>
    <row r="86" spans="1:21" x14ac:dyDescent="0.25">
      <c r="A86" s="451"/>
      <c r="D86" s="631"/>
      <c r="E86" s="624"/>
      <c r="F86" s="275"/>
      <c r="G86" s="625"/>
      <c r="H86" s="473"/>
      <c r="I86" s="101"/>
      <c r="N86" s="51"/>
      <c r="O86" s="51"/>
      <c r="P86" s="51"/>
      <c r="Q86" s="44"/>
      <c r="R86" s="471"/>
      <c r="S86" s="647"/>
      <c r="T86" s="472"/>
      <c r="U86" s="528"/>
    </row>
    <row r="87" spans="1:21" x14ac:dyDescent="0.25">
      <c r="A87" s="797" t="s">
        <v>71</v>
      </c>
      <c r="B87" s="788"/>
      <c r="C87" s="788"/>
      <c r="D87" s="631"/>
      <c r="E87" s="624"/>
      <c r="F87" s="275"/>
      <c r="G87" s="625"/>
      <c r="H87" s="473"/>
      <c r="I87" s="101"/>
      <c r="N87" s="853" t="s">
        <v>522</v>
      </c>
      <c r="O87" s="834"/>
      <c r="P87" s="834"/>
      <c r="Q87" s="51"/>
      <c r="R87" s="471"/>
      <c r="S87" s="51"/>
      <c r="T87" s="647"/>
      <c r="U87" s="529"/>
    </row>
    <row r="88" spans="1:21" x14ac:dyDescent="0.25">
      <c r="A88" s="797" t="s">
        <v>99</v>
      </c>
      <c r="B88" s="788"/>
      <c r="C88" s="788"/>
      <c r="D88" s="631"/>
      <c r="E88" s="624" t="s">
        <v>3</v>
      </c>
      <c r="F88" s="289">
        <v>0</v>
      </c>
      <c r="G88" s="625" t="s">
        <v>6</v>
      </c>
      <c r="H88" s="473">
        <f>H70</f>
        <v>5.1999999999999997E-5</v>
      </c>
      <c r="I88" s="101">
        <f>ROUND(F88*H88,2)</f>
        <v>0</v>
      </c>
      <c r="N88" s="863" t="s">
        <v>99</v>
      </c>
      <c r="O88" s="834"/>
      <c r="P88" s="834"/>
      <c r="Q88" s="44"/>
      <c r="R88" s="470">
        <f>F88</f>
        <v>0</v>
      </c>
      <c r="S88" s="647" t="s">
        <v>6</v>
      </c>
      <c r="T88" s="472">
        <f>T70</f>
        <v>5.1999999999999997E-5</v>
      </c>
      <c r="U88" s="524">
        <f>ROUND(R88*T88,2)</f>
        <v>0</v>
      </c>
    </row>
    <row r="89" spans="1:21" x14ac:dyDescent="0.25">
      <c r="A89" s="634"/>
      <c r="B89" s="631"/>
      <c r="C89" s="631"/>
      <c r="D89" s="631"/>
      <c r="E89" s="624"/>
      <c r="F89" s="275"/>
      <c r="G89" s="625"/>
      <c r="H89" s="473"/>
      <c r="I89" s="101"/>
      <c r="N89" s="649"/>
      <c r="O89" s="638"/>
      <c r="P89" s="638"/>
      <c r="Q89" s="44"/>
      <c r="R89" s="470"/>
      <c r="S89" s="647"/>
      <c r="T89" s="472"/>
      <c r="U89" s="524"/>
    </row>
    <row r="90" spans="1:21" x14ac:dyDescent="0.25">
      <c r="A90" s="633" t="s">
        <v>515</v>
      </c>
      <c r="D90" s="631"/>
      <c r="E90" s="624" t="s">
        <v>481</v>
      </c>
      <c r="F90" s="289">
        <v>19125890</v>
      </c>
      <c r="G90" s="625" t="s">
        <v>6</v>
      </c>
      <c r="H90" s="473">
        <f>H82</f>
        <v>5.8999999999999998E-5</v>
      </c>
      <c r="I90" s="101">
        <f>ROUND(F90*H90,2)</f>
        <v>1128.43</v>
      </c>
      <c r="N90" s="637" t="s">
        <v>515</v>
      </c>
      <c r="O90" s="51"/>
      <c r="P90" s="51"/>
      <c r="Q90" s="44"/>
      <c r="R90" s="470">
        <f>F90</f>
        <v>19125890</v>
      </c>
      <c r="S90" s="647" t="s">
        <v>6</v>
      </c>
      <c r="T90" s="472">
        <f>T82</f>
        <v>5.8999999999999998E-5</v>
      </c>
      <c r="U90" s="524">
        <f>ROUND(R90*T90,2)</f>
        <v>1128.43</v>
      </c>
    </row>
    <row r="91" spans="1:21" x14ac:dyDescent="0.25">
      <c r="A91" s="451"/>
      <c r="D91" s="631"/>
      <c r="E91" s="624"/>
      <c r="F91" s="275"/>
      <c r="G91" s="625"/>
      <c r="H91" s="473"/>
      <c r="I91" s="101"/>
      <c r="N91" s="459"/>
      <c r="O91" s="51"/>
      <c r="P91" s="51"/>
      <c r="Q91" s="44"/>
      <c r="R91" s="470"/>
      <c r="S91" s="647"/>
      <c r="T91" s="472"/>
      <c r="U91" s="524"/>
    </row>
    <row r="92" spans="1:21" x14ac:dyDescent="0.25">
      <c r="A92" s="633" t="s">
        <v>516</v>
      </c>
      <c r="D92" s="631"/>
      <c r="E92" s="624" t="s">
        <v>3</v>
      </c>
      <c r="F92" s="289">
        <v>11511363</v>
      </c>
      <c r="G92" s="625" t="s">
        <v>6</v>
      </c>
      <c r="H92" s="473">
        <f>H76</f>
        <v>5.8999999999999998E-5</v>
      </c>
      <c r="I92" s="101">
        <f t="shared" ref="I92:I98" si="15">ROUND(F92*H92,2)</f>
        <v>679.17</v>
      </c>
      <c r="N92" s="637" t="s">
        <v>516</v>
      </c>
      <c r="O92" s="51"/>
      <c r="P92" s="51"/>
      <c r="Q92" s="44"/>
      <c r="R92" s="470">
        <f t="shared" ref="R92:R96" si="16">F92</f>
        <v>11511363</v>
      </c>
      <c r="S92" s="647" t="s">
        <v>6</v>
      </c>
      <c r="T92" s="472">
        <f>T76</f>
        <v>5.8999999999999998E-5</v>
      </c>
      <c r="U92" s="524">
        <f>ROUND(R92*T92,2)</f>
        <v>679.17</v>
      </c>
    </row>
    <row r="93" spans="1:21" x14ac:dyDescent="0.25">
      <c r="A93" s="633"/>
      <c r="D93" s="631"/>
      <c r="E93" s="624"/>
      <c r="F93" s="275"/>
      <c r="G93" s="625"/>
      <c r="H93" s="473"/>
      <c r="I93" s="101"/>
      <c r="N93" s="637"/>
      <c r="O93" s="51"/>
      <c r="P93" s="51"/>
      <c r="Q93" s="44"/>
      <c r="R93" s="471"/>
      <c r="S93" s="647"/>
      <c r="T93" s="472"/>
      <c r="U93" s="528"/>
    </row>
    <row r="94" spans="1:21" x14ac:dyDescent="0.25">
      <c r="A94" s="794" t="s">
        <v>482</v>
      </c>
      <c r="B94" s="788"/>
      <c r="C94" s="788"/>
      <c r="D94" s="631"/>
      <c r="E94" s="624" t="s">
        <v>4</v>
      </c>
      <c r="F94" s="289">
        <v>255756816</v>
      </c>
      <c r="G94" s="625" t="s">
        <v>6</v>
      </c>
      <c r="H94" s="473">
        <f>H73</f>
        <v>1.4799999999999999E-4</v>
      </c>
      <c r="I94" s="101">
        <f t="shared" si="15"/>
        <v>37852.01</v>
      </c>
      <c r="N94" s="834" t="s">
        <v>482</v>
      </c>
      <c r="O94" s="834"/>
      <c r="P94" s="834"/>
      <c r="Q94" s="44"/>
      <c r="R94" s="470">
        <f t="shared" si="16"/>
        <v>255756816</v>
      </c>
      <c r="S94" s="647" t="s">
        <v>6</v>
      </c>
      <c r="T94" s="472">
        <f>T73</f>
        <v>4.6E-5</v>
      </c>
      <c r="U94" s="524">
        <f>ROUND(R94*T94,2)</f>
        <v>11764.81</v>
      </c>
    </row>
    <row r="95" spans="1:21" x14ac:dyDescent="0.25">
      <c r="A95" s="633"/>
      <c r="B95" s="631"/>
      <c r="C95" s="631"/>
      <c r="D95" s="631"/>
      <c r="E95" s="624"/>
      <c r="F95" s="275"/>
      <c r="G95" s="625"/>
      <c r="H95" s="473"/>
      <c r="I95" s="101"/>
      <c r="N95" s="638"/>
      <c r="O95" s="638"/>
      <c r="P95" s="638"/>
      <c r="Q95" s="44"/>
      <c r="R95" s="470"/>
      <c r="S95" s="647"/>
      <c r="T95" s="472"/>
      <c r="U95" s="524"/>
    </row>
    <row r="96" spans="1:21" x14ac:dyDescent="0.25">
      <c r="A96" s="794" t="s">
        <v>483</v>
      </c>
      <c r="B96" s="788"/>
      <c r="C96" s="788"/>
      <c r="D96" s="631"/>
      <c r="E96" s="624" t="s">
        <v>4</v>
      </c>
      <c r="F96" s="289">
        <v>-15444055</v>
      </c>
      <c r="G96" s="625" t="s">
        <v>6</v>
      </c>
      <c r="H96" s="473">
        <f>H73</f>
        <v>1.4799999999999999E-4</v>
      </c>
      <c r="I96" s="101">
        <f t="shared" si="15"/>
        <v>-2285.7199999999998</v>
      </c>
      <c r="N96" s="853" t="s">
        <v>483</v>
      </c>
      <c r="O96" s="853"/>
      <c r="P96" s="853"/>
      <c r="Q96" s="44"/>
      <c r="R96" s="470">
        <f t="shared" si="16"/>
        <v>-15444055</v>
      </c>
      <c r="S96" s="647" t="s">
        <v>6</v>
      </c>
      <c r="T96" s="472">
        <f>T73</f>
        <v>4.6E-5</v>
      </c>
      <c r="U96" s="524">
        <f>ROUND(R96*T96,2)</f>
        <v>-710.43</v>
      </c>
    </row>
    <row r="97" spans="1:21" x14ac:dyDescent="0.25">
      <c r="A97" s="633"/>
      <c r="B97" s="631"/>
      <c r="C97" s="631"/>
      <c r="D97" s="631"/>
      <c r="E97" s="624"/>
      <c r="F97" s="275"/>
      <c r="G97" s="625"/>
      <c r="H97" s="473"/>
      <c r="I97" s="101"/>
      <c r="N97" s="637"/>
      <c r="O97" s="637"/>
      <c r="P97" s="637"/>
      <c r="Q97" s="44"/>
      <c r="R97" s="589"/>
      <c r="S97" s="647"/>
      <c r="T97" s="472"/>
      <c r="U97" s="528"/>
    </row>
    <row r="98" spans="1:21" x14ac:dyDescent="0.25">
      <c r="A98" s="633" t="s">
        <v>556</v>
      </c>
      <c r="B98" s="631"/>
      <c r="C98" s="631"/>
      <c r="D98" s="631"/>
      <c r="E98" s="624" t="s">
        <v>3</v>
      </c>
      <c r="F98" s="289">
        <v>5621424</v>
      </c>
      <c r="G98" s="625" t="s">
        <v>6</v>
      </c>
      <c r="H98" s="473">
        <f>H70</f>
        <v>5.1999999999999997E-5</v>
      </c>
      <c r="I98" s="101">
        <f t="shared" si="15"/>
        <v>292.31</v>
      </c>
      <c r="N98" s="637" t="s">
        <v>556</v>
      </c>
      <c r="O98" s="637"/>
      <c r="P98" s="637"/>
      <c r="Q98" s="44"/>
      <c r="R98" s="590">
        <f>F98</f>
        <v>5621424</v>
      </c>
      <c r="S98" s="647" t="s">
        <v>6</v>
      </c>
      <c r="T98" s="472">
        <f>T70</f>
        <v>5.1999999999999997E-5</v>
      </c>
      <c r="U98" s="524">
        <f>ROUND(R98*T98,2)</f>
        <v>292.31</v>
      </c>
    </row>
    <row r="99" spans="1:21" x14ac:dyDescent="0.25">
      <c r="A99" s="633"/>
      <c r="B99" s="631"/>
      <c r="C99" s="631"/>
      <c r="D99" s="631"/>
      <c r="E99" s="624"/>
      <c r="F99" s="275"/>
      <c r="G99" s="625"/>
      <c r="H99" s="473"/>
      <c r="I99" s="101"/>
      <c r="N99" s="637"/>
      <c r="O99" s="637"/>
      <c r="P99" s="637"/>
      <c r="Q99" s="44"/>
      <c r="R99" s="589"/>
      <c r="S99" s="647"/>
      <c r="T99" s="472"/>
      <c r="U99" s="528"/>
    </row>
    <row r="100" spans="1:21" x14ac:dyDescent="0.25">
      <c r="A100" s="633"/>
      <c r="B100" s="631"/>
      <c r="C100" s="631"/>
      <c r="D100" s="631"/>
      <c r="E100" s="624"/>
      <c r="F100" s="275"/>
      <c r="G100" s="625"/>
      <c r="H100" s="473"/>
      <c r="I100" s="101"/>
      <c r="N100" s="637"/>
      <c r="O100" s="637"/>
      <c r="P100" s="637"/>
      <c r="Q100" s="44"/>
      <c r="R100" s="471"/>
      <c r="S100" s="647"/>
      <c r="T100" s="472"/>
      <c r="U100" s="103"/>
    </row>
    <row r="101" spans="1:21" ht="15" customHeight="1" x14ac:dyDescent="0.25">
      <c r="A101" s="451" t="s">
        <v>557</v>
      </c>
      <c r="N101" s="459" t="s">
        <v>557</v>
      </c>
      <c r="O101" s="51"/>
      <c r="P101" s="51"/>
      <c r="Q101" s="51"/>
      <c r="R101" s="51"/>
      <c r="S101" s="51"/>
      <c r="T101" s="51"/>
      <c r="U101" s="51"/>
    </row>
    <row r="102" spans="1:21" x14ac:dyDescent="0.25">
      <c r="B102" s="631"/>
      <c r="C102" s="773" t="s">
        <v>60</v>
      </c>
      <c r="D102" s="773"/>
      <c r="E102" s="631"/>
      <c r="F102" s="627" t="s">
        <v>28</v>
      </c>
      <c r="G102" s="631"/>
      <c r="H102" s="631"/>
      <c r="I102" s="631"/>
      <c r="N102" s="638"/>
      <c r="O102" s="638"/>
      <c r="P102" s="638"/>
      <c r="Q102" s="638"/>
      <c r="R102" s="638"/>
      <c r="S102" s="638"/>
      <c r="T102" s="638"/>
      <c r="U102" s="638"/>
    </row>
    <row r="103" spans="1:21" x14ac:dyDescent="0.25">
      <c r="A103" s="3"/>
      <c r="B103" s="118"/>
      <c r="C103" s="774" t="s">
        <v>101</v>
      </c>
      <c r="D103" s="774"/>
      <c r="E103" s="119" t="s">
        <v>485</v>
      </c>
      <c r="F103" s="120" t="s">
        <v>106</v>
      </c>
      <c r="G103" s="628"/>
      <c r="H103" s="628"/>
      <c r="I103" s="628"/>
      <c r="N103" s="865" t="s">
        <v>35</v>
      </c>
      <c r="O103" s="865"/>
      <c r="P103" s="866" t="s">
        <v>487</v>
      </c>
      <c r="Q103" s="867"/>
      <c r="R103" s="856" t="s">
        <v>31</v>
      </c>
      <c r="S103" s="856"/>
      <c r="T103" s="856"/>
      <c r="U103" s="856"/>
    </row>
    <row r="104" spans="1:21" x14ac:dyDescent="0.25">
      <c r="A104" s="635"/>
      <c r="B104" s="52" t="s">
        <v>105</v>
      </c>
      <c r="C104" s="806">
        <f>H14+H15+H20+H23+H26</f>
        <v>25.879000000000001</v>
      </c>
      <c r="D104" s="806"/>
      <c r="E104" s="46">
        <f>H8</f>
        <v>1.0407999999999999</v>
      </c>
      <c r="F104" s="290">
        <v>950.92</v>
      </c>
      <c r="G104" s="627" t="s">
        <v>12</v>
      </c>
      <c r="H104" s="101">
        <f>ROUND(C104*E104*F104,2)</f>
        <v>25612.9</v>
      </c>
      <c r="I104" s="104"/>
      <c r="N104" s="639" t="s">
        <v>17</v>
      </c>
      <c r="O104" s="47">
        <f>T14+T15+T20+T23+T26</f>
        <v>7</v>
      </c>
      <c r="P104" s="864">
        <f>T8</f>
        <v>1.0407999999999999</v>
      </c>
      <c r="Q104" s="864"/>
      <c r="R104" s="48">
        <f>F104</f>
        <v>950.92</v>
      </c>
      <c r="S104" s="40" t="s">
        <v>12</v>
      </c>
      <c r="T104" s="530">
        <f>ROUND(O104*P104*R104,2)</f>
        <v>6928.02</v>
      </c>
      <c r="U104" s="102"/>
    </row>
    <row r="105" spans="1:21" x14ac:dyDescent="0.25">
      <c r="A105" s="49"/>
      <c r="B105" s="49" t="s">
        <v>104</v>
      </c>
      <c r="C105" s="806">
        <f>H16+H17+H21+H24+H27</f>
        <v>7.3940000000000001</v>
      </c>
      <c r="D105" s="806"/>
      <c r="E105" s="46">
        <f>H8</f>
        <v>1.0407999999999999</v>
      </c>
      <c r="F105" s="290">
        <v>907.92</v>
      </c>
      <c r="G105" s="627" t="s">
        <v>12</v>
      </c>
      <c r="H105" s="101">
        <f>ROUND(C105*E105*F105,2)</f>
        <v>6987.06</v>
      </c>
      <c r="N105" s="50" t="s">
        <v>13</v>
      </c>
      <c r="O105" s="47">
        <f>T16+T17+T21+T24+T27</f>
        <v>2</v>
      </c>
      <c r="P105" s="864">
        <f>T8</f>
        <v>1.0407999999999999</v>
      </c>
      <c r="Q105" s="864"/>
      <c r="R105" s="48">
        <f>F105</f>
        <v>907.92</v>
      </c>
      <c r="S105" s="40" t="s">
        <v>12</v>
      </c>
      <c r="T105" s="530">
        <f>ROUND(O105*P105*R105,2)</f>
        <v>1889.93</v>
      </c>
      <c r="U105" s="51"/>
    </row>
    <row r="106" spans="1:21" ht="16.5" thickBot="1" x14ac:dyDescent="0.3">
      <c r="A106" s="52"/>
      <c r="B106" s="52" t="s">
        <v>103</v>
      </c>
      <c r="C106" s="806">
        <f>H18+H19+H22+H25+H28+H29</f>
        <v>1.956</v>
      </c>
      <c r="D106" s="806"/>
      <c r="E106" s="46">
        <f>H8</f>
        <v>1.0407999999999999</v>
      </c>
      <c r="F106" s="290">
        <v>910.12</v>
      </c>
      <c r="G106" s="627" t="s">
        <v>12</v>
      </c>
      <c r="H106" s="94">
        <f>ROUND(C106*E106*F106,2)</f>
        <v>1852.83</v>
      </c>
      <c r="N106" s="53" t="s">
        <v>14</v>
      </c>
      <c r="O106" s="54">
        <f>T18+T19+T22+T25+T28+T29</f>
        <v>2</v>
      </c>
      <c r="P106" s="864">
        <f>T8</f>
        <v>1.0407999999999999</v>
      </c>
      <c r="Q106" s="864"/>
      <c r="R106" s="48">
        <f>F106</f>
        <v>910.12</v>
      </c>
      <c r="S106" s="40" t="s">
        <v>12</v>
      </c>
      <c r="T106" s="530">
        <f>ROUND(O106*P106*R106,2)</f>
        <v>1894.51</v>
      </c>
      <c r="U106" s="51"/>
    </row>
    <row r="107" spans="1:21" ht="16.5" thickBot="1" x14ac:dyDescent="0.3">
      <c r="A107" s="55"/>
      <c r="B107" s="122" t="s">
        <v>102</v>
      </c>
      <c r="C107" s="796">
        <f>SUM(C104:C106)</f>
        <v>35.229000000000006</v>
      </c>
      <c r="D107" s="796"/>
      <c r="E107" s="123"/>
      <c r="F107" s="123"/>
      <c r="G107" s="123"/>
      <c r="H107" s="124" t="s">
        <v>100</v>
      </c>
      <c r="I107" s="101">
        <f>IF(A1=75,0,H106+H105+H104)</f>
        <v>34452.79</v>
      </c>
      <c r="N107" s="642" t="s">
        <v>89</v>
      </c>
      <c r="O107" s="57">
        <f>SUM(O104:O106)</f>
        <v>11</v>
      </c>
      <c r="P107" s="870" t="s">
        <v>16</v>
      </c>
      <c r="Q107" s="871"/>
      <c r="R107" s="871"/>
      <c r="S107" s="871"/>
      <c r="T107" s="871"/>
      <c r="U107" s="524">
        <f>IF(N1=75,0,T106+T105+T104)</f>
        <v>10712.460000000001</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623"/>
      <c r="B109" s="623"/>
      <c r="C109" s="623"/>
      <c r="D109" s="623"/>
      <c r="E109" s="623"/>
      <c r="F109" s="623"/>
      <c r="G109" s="623"/>
      <c r="H109" s="623"/>
      <c r="I109" s="623"/>
      <c r="N109" s="643"/>
      <c r="O109" s="643"/>
      <c r="P109" s="643"/>
      <c r="Q109" s="643"/>
      <c r="R109" s="643"/>
      <c r="S109" s="643"/>
      <c r="T109" s="643"/>
      <c r="U109" s="643"/>
    </row>
    <row r="110" spans="1:21" x14ac:dyDescent="0.25">
      <c r="A110" s="633" t="s">
        <v>558</v>
      </c>
      <c r="C110" s="624"/>
      <c r="D110" s="631"/>
      <c r="E110" s="624" t="s">
        <v>32</v>
      </c>
      <c r="F110" s="766"/>
      <c r="G110" s="766"/>
      <c r="H110" s="766"/>
      <c r="I110" s="766"/>
      <c r="N110" s="853" t="s">
        <v>558</v>
      </c>
      <c r="O110" s="834"/>
      <c r="P110" s="834"/>
      <c r="Q110" s="873"/>
      <c r="R110" s="873"/>
      <c r="S110" s="873"/>
      <c r="T110" s="873"/>
      <c r="U110" s="103"/>
    </row>
    <row r="111" spans="1:21" x14ac:dyDescent="0.25">
      <c r="B111" s="631"/>
      <c r="C111" s="88" t="s">
        <v>581</v>
      </c>
      <c r="D111" s="349" t="s">
        <v>582</v>
      </c>
      <c r="E111" s="89" t="s">
        <v>107</v>
      </c>
      <c r="F111" s="624"/>
      <c r="G111" s="624"/>
      <c r="H111" s="624"/>
      <c r="I111" s="624"/>
      <c r="N111" s="638"/>
      <c r="O111" s="638"/>
      <c r="P111" s="638"/>
      <c r="Q111" s="644"/>
      <c r="R111" s="644"/>
      <c r="S111" s="644"/>
      <c r="T111" s="644"/>
      <c r="U111" s="103"/>
    </row>
    <row r="112" spans="1:21" x14ac:dyDescent="0.25">
      <c r="B112" s="631"/>
      <c r="C112" s="340" t="s">
        <v>2</v>
      </c>
      <c r="D112" s="340" t="s">
        <v>2</v>
      </c>
      <c r="E112" s="90" t="s">
        <v>2</v>
      </c>
      <c r="F112" s="624"/>
      <c r="G112" s="624"/>
      <c r="H112" s="624"/>
      <c r="I112" s="624"/>
      <c r="N112" s="638"/>
      <c r="O112" s="638"/>
      <c r="P112" s="638"/>
      <c r="Q112" s="644"/>
      <c r="R112" s="644"/>
      <c r="S112" s="644"/>
      <c r="T112" s="644"/>
      <c r="U112" s="103"/>
    </row>
    <row r="113" spans="1:21" x14ac:dyDescent="0.25">
      <c r="A113" s="767" t="s">
        <v>443</v>
      </c>
      <c r="B113" s="768"/>
      <c r="C113" s="143">
        <v>0</v>
      </c>
      <c r="D113" s="143">
        <v>0</v>
      </c>
      <c r="E113" s="116">
        <f>(C113+D113)/2</f>
        <v>0</v>
      </c>
      <c r="F113" s="126" t="s">
        <v>30</v>
      </c>
      <c r="G113" s="291">
        <v>607</v>
      </c>
      <c r="I113" s="101">
        <f>ROUND(G113*E113,2)</f>
        <v>0</v>
      </c>
      <c r="N113" s="868" t="s">
        <v>52</v>
      </c>
      <c r="O113" s="868"/>
      <c r="P113" s="869">
        <f>IF(H133=1,E113,0)</f>
        <v>0</v>
      </c>
      <c r="Q113" s="869"/>
      <c r="R113" s="869"/>
      <c r="S113" s="652" t="s">
        <v>30</v>
      </c>
      <c r="T113" s="58">
        <f>G113</f>
        <v>607</v>
      </c>
      <c r="U113" s="524">
        <f>ROUND(T113*P113,2)</f>
        <v>0</v>
      </c>
    </row>
    <row r="114" spans="1:21" x14ac:dyDescent="0.25">
      <c r="A114" s="767" t="s">
        <v>444</v>
      </c>
      <c r="B114" s="768"/>
      <c r="C114" s="143">
        <v>0</v>
      </c>
      <c r="D114" s="143">
        <v>0</v>
      </c>
      <c r="E114" s="116">
        <f>(C114+D114)/2</f>
        <v>0</v>
      </c>
      <c r="F114" s="126" t="s">
        <v>30</v>
      </c>
      <c r="G114" s="291">
        <v>1842</v>
      </c>
      <c r="I114" s="101">
        <f>ROUND(G114*E114,2)</f>
        <v>0</v>
      </c>
      <c r="N114" s="868" t="s">
        <v>64</v>
      </c>
      <c r="O114" s="868"/>
      <c r="P114" s="841"/>
      <c r="Q114" s="841"/>
      <c r="R114" s="841"/>
      <c r="S114" s="652" t="s">
        <v>30</v>
      </c>
      <c r="T114" s="58">
        <f>G114</f>
        <v>1842</v>
      </c>
      <c r="U114" s="524">
        <f>ROUND(T114*P114,2)</f>
        <v>0</v>
      </c>
    </row>
    <row r="115" spans="1:21" x14ac:dyDescent="0.25">
      <c r="A115" s="127"/>
      <c r="B115" s="127"/>
      <c r="C115" s="65"/>
      <c r="D115" s="65"/>
      <c r="E115" s="65"/>
      <c r="F115" s="65"/>
      <c r="G115" s="654"/>
      <c r="H115" s="129"/>
      <c r="I115" s="101"/>
      <c r="N115" s="648"/>
      <c r="O115" s="648"/>
      <c r="P115" s="131"/>
      <c r="Q115" s="131"/>
      <c r="R115" s="131"/>
      <c r="S115" s="652"/>
      <c r="T115" s="58"/>
      <c r="U115" s="103"/>
    </row>
    <row r="116" spans="1:21" x14ac:dyDescent="0.25">
      <c r="A116" s="127"/>
      <c r="B116" s="127"/>
      <c r="C116" s="65"/>
      <c r="D116" s="65"/>
      <c r="E116" s="65"/>
      <c r="F116" s="65"/>
      <c r="G116" s="654"/>
      <c r="H116" s="129"/>
      <c r="I116" s="101"/>
      <c r="N116" s="648"/>
      <c r="O116" s="648"/>
      <c r="P116" s="131"/>
      <c r="Q116" s="131"/>
      <c r="R116" s="131"/>
      <c r="S116" s="652"/>
      <c r="T116" s="58"/>
      <c r="U116" s="103"/>
    </row>
    <row r="117" spans="1:21" hidden="1" x14ac:dyDescent="0.25">
      <c r="A117" s="794" t="s">
        <v>559</v>
      </c>
      <c r="B117" s="788"/>
      <c r="C117" s="788"/>
      <c r="D117" s="631"/>
      <c r="E117" s="627" t="s">
        <v>317</v>
      </c>
      <c r="F117" s="773"/>
      <c r="G117" s="773"/>
      <c r="H117" s="773"/>
      <c r="I117" s="773"/>
      <c r="N117" s="853" t="s">
        <v>560</v>
      </c>
      <c r="O117" s="834"/>
      <c r="P117" s="834"/>
      <c r="Q117" s="834"/>
      <c r="R117" s="834"/>
      <c r="S117" s="834"/>
      <c r="T117" s="834"/>
      <c r="U117" s="834"/>
    </row>
    <row r="118" spans="1:21" hidden="1" x14ac:dyDescent="0.25">
      <c r="B118" s="631"/>
      <c r="C118" s="774" t="s">
        <v>66</v>
      </c>
      <c r="D118" s="774"/>
      <c r="E118" s="774"/>
      <c r="F118" s="625"/>
      <c r="G118" s="625"/>
      <c r="H118" s="627" t="s">
        <v>108</v>
      </c>
      <c r="I118" s="625"/>
      <c r="N118" s="638"/>
      <c r="O118" s="638"/>
      <c r="P118" s="638"/>
      <c r="Q118" s="638"/>
      <c r="R118" s="638"/>
      <c r="S118" s="638"/>
      <c r="T118" s="638"/>
      <c r="U118" s="638"/>
    </row>
    <row r="119" spans="1:21" hidden="1" x14ac:dyDescent="0.25">
      <c r="B119" s="631"/>
      <c r="C119" s="88" t="s">
        <v>341</v>
      </c>
      <c r="D119" s="88" t="s">
        <v>314</v>
      </c>
      <c r="E119" s="137" t="s">
        <v>8</v>
      </c>
      <c r="F119" s="775" t="s">
        <v>109</v>
      </c>
      <c r="G119" s="773"/>
      <c r="H119" s="625" t="s">
        <v>29</v>
      </c>
      <c r="I119" s="625"/>
      <c r="N119" s="638"/>
      <c r="O119" s="638"/>
      <c r="P119" s="638"/>
      <c r="Q119" s="638"/>
      <c r="R119" s="638"/>
      <c r="S119" s="638"/>
      <c r="T119" s="638"/>
      <c r="U119" s="638"/>
    </row>
    <row r="120" spans="1:21" hidden="1" x14ac:dyDescent="0.25">
      <c r="A120" s="774" t="s">
        <v>69</v>
      </c>
      <c r="B120" s="774"/>
      <c r="C120" s="90" t="s">
        <v>2</v>
      </c>
      <c r="D120" s="90" t="s">
        <v>2</v>
      </c>
      <c r="E120" s="626" t="s">
        <v>2</v>
      </c>
      <c r="F120" s="774" t="s">
        <v>28</v>
      </c>
      <c r="G120" s="774"/>
      <c r="H120" s="626" t="s">
        <v>28</v>
      </c>
      <c r="I120" s="626" t="s">
        <v>8</v>
      </c>
      <c r="N120" s="874" t="s">
        <v>53</v>
      </c>
      <c r="O120" s="874"/>
      <c r="P120" s="869" t="s">
        <v>66</v>
      </c>
      <c r="Q120" s="869"/>
      <c r="R120" s="874" t="s">
        <v>54</v>
      </c>
      <c r="S120" s="874"/>
      <c r="T120" s="641" t="s">
        <v>55</v>
      </c>
      <c r="U120" s="641"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idden="1" x14ac:dyDescent="0.25">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x14ac:dyDescent="0.25">
      <c r="A125" s="625"/>
      <c r="B125" s="625"/>
      <c r="C125" s="65"/>
      <c r="D125" s="65"/>
      <c r="E125" s="65"/>
      <c r="F125" s="65"/>
      <c r="G125" s="65"/>
      <c r="H125" s="65"/>
      <c r="I125" s="101"/>
      <c r="N125" s="647"/>
      <c r="O125" s="647"/>
      <c r="P125" s="66"/>
      <c r="Q125" s="66"/>
      <c r="R125" s="66"/>
      <c r="S125" s="66"/>
      <c r="T125" s="66"/>
      <c r="U125" s="138"/>
    </row>
    <row r="126" spans="1:21" x14ac:dyDescent="0.25">
      <c r="A126" s="794" t="s">
        <v>492</v>
      </c>
      <c r="B126" s="788"/>
      <c r="C126" s="788"/>
      <c r="D126" s="631"/>
      <c r="E126" s="636" t="s">
        <v>34</v>
      </c>
      <c r="F126" s="807"/>
      <c r="G126" s="807"/>
      <c r="H126" s="807"/>
      <c r="I126" s="154">
        <v>0</v>
      </c>
      <c r="N126" s="853" t="s">
        <v>492</v>
      </c>
      <c r="O126" s="834"/>
      <c r="P126" s="834"/>
      <c r="Q126" s="305"/>
      <c r="R126" s="305"/>
      <c r="S126" s="305"/>
      <c r="T126" s="305"/>
      <c r="U126" s="524">
        <f>IF($H$133=1,I126,0)</f>
        <v>0</v>
      </c>
    </row>
    <row r="127" spans="1:21" x14ac:dyDescent="0.25">
      <c r="B127" s="631"/>
      <c r="C127" s="631"/>
      <c r="D127" s="631"/>
      <c r="E127" s="636"/>
      <c r="F127" s="636"/>
      <c r="G127" s="636"/>
      <c r="H127" s="636"/>
      <c r="I127" s="116"/>
      <c r="N127" s="637"/>
      <c r="O127" s="638"/>
      <c r="P127" s="638"/>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271664.21999999997</v>
      </c>
      <c r="J128" s="250"/>
      <c r="N128" s="637"/>
      <c r="O128" s="638"/>
      <c r="P128" s="638"/>
      <c r="Q128" s="305"/>
      <c r="R128" s="305"/>
      <c r="S128" s="305"/>
      <c r="T128" s="305"/>
      <c r="U128" s="531">
        <f>SUM(U30,U85,U88,U90,U92,U94,U96,U107,U113,U114,U124,U126)</f>
        <v>87015.460000000021</v>
      </c>
    </row>
    <row r="129" spans="1:21" ht="16.5" thickTop="1" x14ac:dyDescent="0.25">
      <c r="A129" s="635"/>
      <c r="B129" s="635"/>
      <c r="C129" s="635"/>
      <c r="D129" s="635"/>
      <c r="E129" s="635"/>
      <c r="F129" s="635"/>
      <c r="G129" s="635"/>
      <c r="H129" s="635"/>
      <c r="I129" s="101"/>
      <c r="J129" s="250"/>
      <c r="N129" s="637"/>
      <c r="O129" s="638"/>
      <c r="P129" s="638"/>
      <c r="Q129" s="305"/>
      <c r="R129" s="305"/>
      <c r="S129" s="305"/>
      <c r="T129" s="305"/>
      <c r="U129" s="103"/>
    </row>
    <row r="130" spans="1:21" ht="16.5" thickBot="1" x14ac:dyDescent="0.3">
      <c r="A130" s="633" t="s">
        <v>494</v>
      </c>
      <c r="B130" s="635"/>
      <c r="C130" s="635"/>
      <c r="D130" s="635"/>
      <c r="E130" s="635"/>
      <c r="F130" s="635"/>
      <c r="G130" s="635"/>
      <c r="H130" s="635"/>
      <c r="I130" s="101">
        <f>I128-I53</f>
        <v>260737.57999999996</v>
      </c>
      <c r="J130" s="250"/>
      <c r="N130" s="834" t="s">
        <v>494</v>
      </c>
      <c r="O130" s="834"/>
      <c r="P130" s="834"/>
      <c r="Q130" s="834"/>
      <c r="R130" s="834"/>
      <c r="S130" s="834"/>
      <c r="T130" s="834"/>
      <c r="U130" s="132">
        <f>U128-U53</f>
        <v>82950.640000000014</v>
      </c>
    </row>
    <row r="131" spans="1:21" ht="16.5" thickTop="1" x14ac:dyDescent="0.25">
      <c r="A131" s="635"/>
      <c r="B131" s="635"/>
      <c r="C131" s="635"/>
      <c r="D131" s="635"/>
      <c r="E131" s="635"/>
      <c r="F131" s="635"/>
      <c r="G131" s="635"/>
      <c r="H131" s="635"/>
      <c r="I131" s="101"/>
      <c r="J131" s="250"/>
      <c r="N131" s="639"/>
      <c r="O131" s="639"/>
      <c r="P131" s="639"/>
      <c r="Q131" s="639"/>
      <c r="R131" s="639"/>
      <c r="S131" s="639"/>
      <c r="T131" s="639"/>
      <c r="U131" s="138"/>
    </row>
    <row r="132" spans="1:21" x14ac:dyDescent="0.25">
      <c r="A132" s="794" t="s">
        <v>561</v>
      </c>
      <c r="B132" s="788"/>
      <c r="C132" s="788"/>
      <c r="D132" s="788"/>
      <c r="E132" s="788"/>
      <c r="F132" s="788"/>
      <c r="G132" s="788"/>
      <c r="H132" s="633" t="s">
        <v>375</v>
      </c>
      <c r="I132" s="134"/>
      <c r="J132" s="250"/>
      <c r="N132" s="853" t="s">
        <v>562</v>
      </c>
      <c r="O132" s="834"/>
      <c r="P132" s="834"/>
      <c r="Q132" s="834"/>
      <c r="R132" s="834"/>
      <c r="S132" s="834"/>
      <c r="T132" s="834"/>
      <c r="U132" s="138"/>
    </row>
    <row r="133" spans="1:21" x14ac:dyDescent="0.25">
      <c r="A133" s="788" t="s">
        <v>70</v>
      </c>
      <c r="B133" s="788"/>
      <c r="C133" s="788"/>
      <c r="D133" s="788"/>
      <c r="E133" s="788"/>
      <c r="F133" s="788"/>
      <c r="G133" s="788"/>
      <c r="H133" s="70">
        <f>IF(E30=0,"",IF((E15+E17+SUM(E19:E25))/E30&gt;0.75,1,""))</f>
        <v>1</v>
      </c>
      <c r="I133" s="116">
        <f>U130</f>
        <v>82950.640000000014</v>
      </c>
      <c r="N133" s="639"/>
      <c r="O133" s="639"/>
      <c r="P133" s="639"/>
      <c r="Q133" s="639"/>
      <c r="R133" s="639"/>
      <c r="S133" s="639"/>
      <c r="T133" s="639"/>
      <c r="U133" s="138"/>
    </row>
    <row r="134" spans="1:21" x14ac:dyDescent="0.25">
      <c r="B134" s="631"/>
      <c r="C134" s="631"/>
      <c r="D134" s="631"/>
      <c r="E134" s="631"/>
      <c r="F134" s="631"/>
      <c r="G134" s="631"/>
      <c r="H134" s="65"/>
      <c r="I134" s="101"/>
      <c r="N134" s="639"/>
      <c r="O134" s="639"/>
      <c r="P134" s="639"/>
      <c r="Q134" s="639"/>
      <c r="R134" s="639"/>
      <c r="S134" s="639"/>
      <c r="T134" s="639"/>
      <c r="U134" s="138"/>
    </row>
    <row r="135" spans="1:21" x14ac:dyDescent="0.25">
      <c r="A135" s="3" t="s">
        <v>73</v>
      </c>
      <c r="B135" s="631"/>
      <c r="C135" s="631"/>
      <c r="D135" s="631"/>
      <c r="E135" s="631"/>
      <c r="F135" s="631"/>
      <c r="G135" s="257">
        <v>0</v>
      </c>
      <c r="H135" s="139">
        <f>IF(H133=1,I133,I130)</f>
        <v>82950.640000000014</v>
      </c>
      <c r="I135" s="94">
        <f>ROUND(IF(E30=0,0,IF(E30&gt;250,-(((250/E30)*H135)*IF(G135="H",0.02,0.05)),IF(G135="H",-0.02*H135,-0.05*H135))),2)</f>
        <v>-4147.53</v>
      </c>
      <c r="N135" s="877"/>
      <c r="O135" s="877"/>
      <c r="P135" s="877"/>
      <c r="Q135" s="877"/>
      <c r="R135" s="877"/>
      <c r="S135" s="877"/>
      <c r="T135" s="877"/>
      <c r="U135" s="877"/>
    </row>
    <row r="136" spans="1:21" x14ac:dyDescent="0.25">
      <c r="B136" s="631"/>
      <c r="C136" s="631"/>
      <c r="D136" s="631"/>
      <c r="E136" s="631"/>
      <c r="F136" s="631"/>
      <c r="G136" s="631"/>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267516.68999999994</v>
      </c>
      <c r="N137" s="71" t="s">
        <v>77</v>
      </c>
      <c r="O137" s="71"/>
      <c r="P137" s="71"/>
      <c r="Q137" s="71"/>
      <c r="R137" s="71"/>
      <c r="S137" s="71"/>
      <c r="T137" s="71"/>
      <c r="U137" s="71"/>
    </row>
    <row r="138" spans="1:21" x14ac:dyDescent="0.25">
      <c r="B138" s="631"/>
      <c r="C138" s="631"/>
      <c r="D138" s="631"/>
      <c r="E138" s="631"/>
      <c r="F138" s="631"/>
      <c r="G138" s="631"/>
      <c r="H138" s="65"/>
      <c r="I138" s="101"/>
      <c r="N138" s="72" t="s">
        <v>78</v>
      </c>
      <c r="O138" s="71"/>
      <c r="P138" s="71"/>
      <c r="Q138" s="71"/>
      <c r="R138" s="71"/>
      <c r="S138" s="71"/>
      <c r="T138" s="71"/>
      <c r="U138" s="71"/>
    </row>
    <row r="139" spans="1:21" x14ac:dyDescent="0.25">
      <c r="A139" s="3" t="s">
        <v>75</v>
      </c>
      <c r="B139" s="631"/>
      <c r="C139" s="140"/>
      <c r="D139" s="631"/>
      <c r="F139" s="631"/>
      <c r="G139" s="631"/>
      <c r="H139" s="65"/>
      <c r="I139" s="271">
        <f>-'Cumulative Payments'!Q71</f>
        <v>0</v>
      </c>
      <c r="N139" s="646"/>
      <c r="O139" s="646"/>
      <c r="P139" s="646"/>
      <c r="Q139" s="646"/>
      <c r="R139" s="646"/>
      <c r="S139" s="646"/>
      <c r="T139" s="646"/>
      <c r="U139" s="646"/>
    </row>
    <row r="140" spans="1:21" x14ac:dyDescent="0.25">
      <c r="B140" s="631"/>
      <c r="C140" s="631"/>
      <c r="D140" s="631"/>
      <c r="E140" s="631"/>
      <c r="F140" s="631"/>
      <c r="G140" s="631"/>
      <c r="H140" s="65"/>
      <c r="I140" s="101"/>
      <c r="N140" s="646"/>
      <c r="O140" s="646"/>
      <c r="P140" s="646"/>
      <c r="Q140" s="646"/>
      <c r="R140" s="646"/>
      <c r="S140" s="646"/>
      <c r="T140" s="646"/>
      <c r="U140" s="646"/>
    </row>
    <row r="141" spans="1:21" x14ac:dyDescent="0.25">
      <c r="A141" s="3" t="s">
        <v>246</v>
      </c>
      <c r="B141" s="631"/>
      <c r="C141" s="631"/>
      <c r="D141" s="631"/>
      <c r="E141" s="631"/>
      <c r="F141" s="631"/>
      <c r="G141" s="631"/>
      <c r="H141" s="65"/>
      <c r="I141" s="101">
        <f>I137+I139</f>
        <v>267516.68999999994</v>
      </c>
      <c r="N141" s="646"/>
      <c r="O141" s="646"/>
      <c r="P141" s="646"/>
      <c r="Q141" s="646"/>
      <c r="R141" s="646"/>
      <c r="S141" s="646"/>
      <c r="T141" s="646"/>
      <c r="U141" s="646"/>
    </row>
    <row r="142" spans="1:21" x14ac:dyDescent="0.25">
      <c r="A142" s="3"/>
      <c r="B142" s="631"/>
      <c r="C142" s="631"/>
      <c r="D142" s="631"/>
      <c r="E142" s="631"/>
      <c r="F142" s="631"/>
      <c r="G142" s="631"/>
      <c r="H142" s="65"/>
      <c r="I142" s="101"/>
      <c r="N142" s="646"/>
      <c r="O142" s="646"/>
      <c r="P142" s="646"/>
      <c r="Q142" s="646"/>
      <c r="R142" s="646"/>
      <c r="S142" s="646"/>
      <c r="T142" s="646"/>
      <c r="U142" s="646"/>
    </row>
    <row r="143" spans="1:21" x14ac:dyDescent="0.25">
      <c r="A143" s="3" t="s">
        <v>247</v>
      </c>
      <c r="B143" s="631"/>
      <c r="C143" s="631"/>
      <c r="D143" s="631"/>
      <c r="E143" s="631"/>
      <c r="F143" s="631"/>
      <c r="G143" s="631"/>
      <c r="H143" s="65"/>
      <c r="I143" s="272">
        <f>'1461'!I143</f>
        <v>12</v>
      </c>
      <c r="N143" s="646"/>
      <c r="O143" s="646"/>
      <c r="P143" s="646"/>
      <c r="Q143" s="646"/>
      <c r="R143" s="646"/>
      <c r="S143" s="646"/>
      <c r="T143" s="646"/>
      <c r="U143" s="646"/>
    </row>
    <row r="144" spans="1:21" x14ac:dyDescent="0.25">
      <c r="B144" s="631"/>
      <c r="C144" s="631"/>
      <c r="D144" s="631"/>
      <c r="E144" s="631"/>
      <c r="F144" s="631"/>
      <c r="G144" s="631"/>
      <c r="H144" s="65"/>
      <c r="I144" s="101"/>
      <c r="N144" s="646"/>
      <c r="O144" s="646"/>
      <c r="P144" s="646"/>
      <c r="Q144" s="646"/>
      <c r="R144" s="646"/>
      <c r="S144" s="646"/>
      <c r="T144" s="646"/>
      <c r="U144" s="646"/>
    </row>
    <row r="145" spans="1:21" ht="16.5" thickBot="1" x14ac:dyDescent="0.3">
      <c r="A145" s="3" t="s">
        <v>76</v>
      </c>
      <c r="B145" s="631"/>
      <c r="C145" s="631"/>
      <c r="D145" s="631"/>
      <c r="E145" s="631"/>
      <c r="F145" s="631"/>
      <c r="G145" s="631"/>
      <c r="H145" s="65"/>
      <c r="I145" s="155">
        <f>ROUND(I141/I143,2)</f>
        <v>22293.06</v>
      </c>
      <c r="K145" s="469"/>
      <c r="N145" s="646"/>
      <c r="O145" s="646"/>
      <c r="P145" s="646"/>
      <c r="Q145" s="646"/>
      <c r="R145" s="646"/>
      <c r="S145" s="646"/>
      <c r="T145" s="646"/>
      <c r="U145" s="646"/>
    </row>
    <row r="146" spans="1:21" ht="16.5" thickTop="1" x14ac:dyDescent="0.25">
      <c r="B146" s="631"/>
      <c r="C146" s="631"/>
      <c r="D146" s="631"/>
      <c r="E146" s="631"/>
      <c r="F146" s="631"/>
      <c r="G146" s="631"/>
      <c r="H146" s="65"/>
      <c r="I146" s="101"/>
      <c r="N146" s="646"/>
      <c r="O146" s="646"/>
      <c r="P146" s="646"/>
      <c r="Q146" s="646"/>
      <c r="R146" s="646"/>
      <c r="S146" s="646"/>
      <c r="T146" s="646"/>
      <c r="U146" s="646"/>
    </row>
    <row r="147" spans="1:21" ht="16.5" thickBot="1" x14ac:dyDescent="0.3">
      <c r="A147" s="3" t="s">
        <v>90</v>
      </c>
      <c r="B147" s="631"/>
      <c r="C147" s="631"/>
      <c r="D147" s="631"/>
      <c r="E147" s="631"/>
      <c r="F147" s="631"/>
      <c r="G147" s="631"/>
      <c r="H147" s="65"/>
      <c r="I147" s="133">
        <f>ROUND(IF(G135="H",(H135*0.02)+I135,(H135*0.05)+I135),2)</f>
        <v>0</v>
      </c>
      <c r="N147" s="646"/>
      <c r="O147" s="646"/>
      <c r="P147" s="646"/>
      <c r="Q147" s="646"/>
      <c r="R147" s="646"/>
      <c r="S147" s="646"/>
      <c r="T147" s="646"/>
      <c r="U147" s="646"/>
    </row>
    <row r="148" spans="1:21" ht="16.5" thickTop="1" x14ac:dyDescent="0.25">
      <c r="B148" s="631"/>
      <c r="C148" s="631"/>
      <c r="D148" s="631"/>
      <c r="E148" s="631"/>
      <c r="F148" s="631"/>
      <c r="G148" s="631"/>
      <c r="H148" s="65"/>
      <c r="I148" s="134"/>
      <c r="N148" s="646"/>
      <c r="O148" s="646"/>
      <c r="P148" s="646"/>
      <c r="Q148" s="646"/>
      <c r="R148" s="646"/>
      <c r="S148" s="646"/>
      <c r="T148" s="646"/>
      <c r="U148" s="646"/>
    </row>
    <row r="149" spans="1:21" x14ac:dyDescent="0.25">
      <c r="B149" s="631"/>
      <c r="C149" s="631"/>
      <c r="D149" s="631"/>
      <c r="E149" s="631"/>
      <c r="F149" s="631"/>
      <c r="G149" s="631"/>
      <c r="H149" s="65"/>
      <c r="I149" s="101"/>
      <c r="N149" s="646"/>
      <c r="O149" s="646"/>
      <c r="P149" s="646"/>
      <c r="Q149" s="646"/>
      <c r="R149" s="646"/>
      <c r="S149" s="646"/>
      <c r="T149" s="646"/>
      <c r="U149" s="646"/>
    </row>
    <row r="150" spans="1:21" x14ac:dyDescent="0.25">
      <c r="B150" s="631"/>
      <c r="C150" s="631"/>
      <c r="D150" s="631"/>
      <c r="E150" s="631"/>
      <c r="F150" s="631"/>
      <c r="G150" s="631"/>
      <c r="H150" s="65"/>
      <c r="I150" s="134"/>
      <c r="N150" s="646"/>
      <c r="O150" s="646"/>
      <c r="P150" s="646"/>
      <c r="Q150" s="646"/>
      <c r="R150" s="646"/>
      <c r="S150" s="646"/>
      <c r="T150" s="646"/>
      <c r="U150" s="646"/>
    </row>
    <row r="151" spans="1:21" ht="12.75" customHeight="1" x14ac:dyDescent="0.25">
      <c r="A151" s="357" t="s">
        <v>7</v>
      </c>
      <c r="B151" s="357"/>
      <c r="C151" s="357"/>
      <c r="D151" s="357"/>
      <c r="E151" s="357"/>
      <c r="F151" s="357"/>
      <c r="G151" s="357"/>
      <c r="H151" s="357"/>
      <c r="I151" s="357"/>
      <c r="J151" s="134"/>
      <c r="N151" s="646"/>
      <c r="O151" s="646"/>
      <c r="P151" s="646"/>
      <c r="Q151" s="646"/>
      <c r="R151" s="646"/>
      <c r="S151" s="646"/>
      <c r="T151" s="646"/>
      <c r="U151" s="646"/>
    </row>
    <row r="152" spans="1:21" ht="12.75" customHeight="1" x14ac:dyDescent="0.25">
      <c r="A152" s="358" t="s">
        <v>259</v>
      </c>
      <c r="B152" s="359"/>
      <c r="C152" s="359"/>
      <c r="D152" s="359"/>
      <c r="E152" s="359"/>
      <c r="F152" s="359"/>
      <c r="G152" s="359"/>
      <c r="H152" s="359"/>
      <c r="I152" s="359"/>
      <c r="J152" s="77"/>
      <c r="K152" s="339"/>
      <c r="L152" s="76"/>
      <c r="M152" s="76"/>
      <c r="N152" s="646"/>
      <c r="O152" s="646"/>
      <c r="P152" s="646"/>
      <c r="Q152" s="646"/>
      <c r="R152" s="646"/>
      <c r="S152" s="646"/>
      <c r="T152" s="646"/>
      <c r="U152" s="646"/>
    </row>
    <row r="153" spans="1:21" ht="12.75" customHeight="1" x14ac:dyDescent="0.25">
      <c r="A153" s="364" t="s">
        <v>434</v>
      </c>
      <c r="B153" s="359"/>
      <c r="C153" s="359"/>
      <c r="D153" s="359"/>
      <c r="E153" s="359"/>
      <c r="F153" s="359"/>
      <c r="G153" s="359"/>
      <c r="H153" s="359"/>
      <c r="I153" s="359"/>
      <c r="J153" s="77"/>
      <c r="K153" s="339"/>
      <c r="L153" s="76"/>
      <c r="M153" s="76"/>
      <c r="N153" s="646"/>
      <c r="O153" s="646"/>
      <c r="P153" s="646"/>
      <c r="Q153" s="646"/>
      <c r="R153" s="646"/>
      <c r="S153" s="646"/>
      <c r="T153" s="646"/>
      <c r="U153" s="646"/>
    </row>
    <row r="154" spans="1:21" ht="12.75" customHeight="1" x14ac:dyDescent="0.25">
      <c r="A154" s="361" t="s">
        <v>435</v>
      </c>
      <c r="B154" s="360"/>
      <c r="C154" s="360"/>
      <c r="D154" s="360"/>
      <c r="E154" s="360"/>
      <c r="F154" s="360"/>
      <c r="G154" s="360"/>
      <c r="H154" s="360"/>
      <c r="I154" s="360"/>
      <c r="J154" s="76"/>
      <c r="K154" s="76"/>
      <c r="L154" s="76"/>
      <c r="M154" s="76"/>
      <c r="N154" s="646"/>
      <c r="O154" s="646"/>
      <c r="P154" s="646"/>
      <c r="Q154" s="646"/>
      <c r="R154" s="646"/>
      <c r="S154" s="646"/>
      <c r="T154" s="646"/>
      <c r="U154" s="646"/>
    </row>
    <row r="155" spans="1:21" s="76" customFormat="1" ht="12.75" customHeight="1" x14ac:dyDescent="0.2">
      <c r="A155" s="361" t="s">
        <v>436</v>
      </c>
      <c r="B155" s="360"/>
      <c r="C155" s="360"/>
      <c r="D155" s="360"/>
      <c r="E155" s="360"/>
      <c r="F155" s="360"/>
      <c r="G155" s="360"/>
      <c r="H155" s="360"/>
      <c r="I155" s="360"/>
      <c r="N155" s="879"/>
      <c r="O155" s="879"/>
      <c r="P155" s="879"/>
      <c r="Q155" s="879"/>
      <c r="R155" s="879"/>
      <c r="S155" s="879"/>
      <c r="T155" s="879"/>
      <c r="U155" s="879"/>
    </row>
    <row r="156" spans="1:21" s="76" customFormat="1" ht="12.75" customHeight="1" x14ac:dyDescent="0.2">
      <c r="A156" s="361" t="s">
        <v>437</v>
      </c>
      <c r="B156" s="360"/>
      <c r="C156" s="360"/>
      <c r="D156" s="360"/>
      <c r="E156" s="360"/>
      <c r="F156" s="360"/>
      <c r="G156" s="360"/>
      <c r="H156" s="360"/>
      <c r="I156" s="360"/>
      <c r="N156" s="646"/>
      <c r="O156" s="646"/>
      <c r="P156" s="646"/>
      <c r="Q156" s="646"/>
      <c r="R156" s="646"/>
      <c r="S156" s="646"/>
      <c r="T156" s="646"/>
      <c r="U156" s="646"/>
    </row>
    <row r="157" spans="1:21" s="76" customFormat="1" ht="12.75" customHeight="1" x14ac:dyDescent="0.2">
      <c r="A157" s="361" t="s">
        <v>438</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439</v>
      </c>
      <c r="B158" s="360"/>
      <c r="C158" s="360"/>
      <c r="D158" s="360"/>
      <c r="E158" s="360"/>
      <c r="F158" s="360"/>
      <c r="G158" s="360"/>
      <c r="H158" s="360"/>
      <c r="I158" s="360"/>
      <c r="N158" s="78"/>
    </row>
    <row r="159" spans="1:21" s="76" customFormat="1" ht="12.75" customHeight="1" x14ac:dyDescent="0.2">
      <c r="A159" s="361" t="s">
        <v>441</v>
      </c>
      <c r="B159" s="360"/>
      <c r="C159" s="360"/>
      <c r="D159" s="360"/>
      <c r="E159" s="360"/>
      <c r="F159" s="360"/>
      <c r="G159" s="360"/>
      <c r="H159" s="360"/>
      <c r="I159" s="360"/>
      <c r="K159" s="360"/>
      <c r="N159" s="78"/>
    </row>
    <row r="160" spans="1:21" s="76" customFormat="1" ht="12.75" customHeight="1" x14ac:dyDescent="0.2">
      <c r="A160" s="366" t="s">
        <v>440</v>
      </c>
      <c r="B160" s="360"/>
      <c r="C160" s="360"/>
      <c r="D160" s="360"/>
      <c r="E160" s="360"/>
      <c r="F160" s="360"/>
      <c r="G160" s="360"/>
      <c r="H160" s="360"/>
      <c r="I160" s="360"/>
      <c r="N160" s="78"/>
    </row>
    <row r="161" spans="1:14" s="76" customFormat="1" ht="12.75" customHeight="1" x14ac:dyDescent="0.2">
      <c r="A161" s="361" t="s">
        <v>442</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445</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447</v>
      </c>
      <c r="B165" s="360"/>
      <c r="C165" s="360"/>
      <c r="D165" s="360"/>
      <c r="E165" s="360"/>
      <c r="F165" s="360"/>
      <c r="G165" s="360"/>
      <c r="H165" s="360"/>
      <c r="I165" s="360"/>
      <c r="N165" s="78"/>
    </row>
    <row r="166" spans="1:14" s="76" customFormat="1" ht="12.75" customHeight="1" x14ac:dyDescent="0.2">
      <c r="A166" s="366" t="s">
        <v>446</v>
      </c>
      <c r="B166" s="360"/>
      <c r="C166" s="360"/>
      <c r="D166" s="360"/>
      <c r="E166" s="360"/>
      <c r="F166" s="360"/>
      <c r="G166" s="360"/>
      <c r="H166" s="360"/>
      <c r="I166" s="360"/>
      <c r="N166" s="78"/>
    </row>
    <row r="167" spans="1:14" s="76" customFormat="1" ht="12.75" customHeight="1" x14ac:dyDescent="0.2">
      <c r="A167" s="361" t="s">
        <v>448</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450</v>
      </c>
      <c r="B169" s="360"/>
      <c r="C169" s="360"/>
      <c r="D169" s="360"/>
      <c r="E169" s="360"/>
      <c r="F169" s="360"/>
      <c r="G169" s="360"/>
      <c r="H169" s="360"/>
      <c r="I169" s="360"/>
      <c r="N169" s="78"/>
    </row>
    <row r="170" spans="1:14" s="76" customFormat="1" ht="12.75" customHeight="1" x14ac:dyDescent="0.2">
      <c r="A170" s="366" t="s">
        <v>449</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451</v>
      </c>
      <c r="B175" s="370"/>
      <c r="C175" s="370"/>
      <c r="D175" s="370"/>
      <c r="E175" s="370"/>
      <c r="F175" s="370"/>
      <c r="G175" s="370"/>
      <c r="H175" s="370"/>
      <c r="I175" s="370"/>
      <c r="N175" s="78"/>
    </row>
    <row r="176" spans="1:14" s="76" customFormat="1" ht="12.75" customHeight="1" x14ac:dyDescent="0.2">
      <c r="A176" s="367" t="s">
        <v>452</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B1:I1"/>
    <mergeCell ref="O1:U1"/>
    <mergeCell ref="N2:U2"/>
    <mergeCell ref="N3:U3"/>
    <mergeCell ref="A4:B4"/>
    <mergeCell ref="C4:E4"/>
    <mergeCell ref="N4:O4"/>
    <mergeCell ref="P4:Q4"/>
    <mergeCell ref="T9:U9"/>
    <mergeCell ref="F11:G11"/>
    <mergeCell ref="R11:S11"/>
    <mergeCell ref="F12:G12"/>
    <mergeCell ref="N12:O12"/>
    <mergeCell ref="P12:Q12"/>
    <mergeCell ref="R12:S12"/>
    <mergeCell ref="A7:I7"/>
    <mergeCell ref="N7:U7"/>
    <mergeCell ref="N8:O8"/>
    <mergeCell ref="P8:Q8"/>
    <mergeCell ref="R8:S8"/>
    <mergeCell ref="T8:U8"/>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43:B43"/>
    <mergeCell ref="N43:O43"/>
    <mergeCell ref="P43:T43"/>
    <mergeCell ref="N44:Q44"/>
    <mergeCell ref="S44:T44"/>
    <mergeCell ref="N46:Q46"/>
    <mergeCell ref="S46:T46"/>
    <mergeCell ref="A41:B41"/>
    <mergeCell ref="N41:O41"/>
    <mergeCell ref="P41:T41"/>
    <mergeCell ref="A42:B42"/>
    <mergeCell ref="N42:O42"/>
    <mergeCell ref="P42:T42"/>
    <mergeCell ref="P56:Q56"/>
    <mergeCell ref="A57:B65"/>
    <mergeCell ref="N57:O65"/>
    <mergeCell ref="P57:Q57"/>
    <mergeCell ref="P58:Q58"/>
    <mergeCell ref="P59:Q59"/>
    <mergeCell ref="P60:Q60"/>
    <mergeCell ref="P61:Q61"/>
    <mergeCell ref="P62:Q62"/>
    <mergeCell ref="P63:Q63"/>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82:S82"/>
    <mergeCell ref="T82:U82"/>
    <mergeCell ref="A87:C87"/>
    <mergeCell ref="N87:P87"/>
    <mergeCell ref="A88:C88"/>
    <mergeCell ref="N88:P88"/>
    <mergeCell ref="N79:S79"/>
    <mergeCell ref="T79:U79"/>
    <mergeCell ref="A81:B81"/>
    <mergeCell ref="D81:G81"/>
    <mergeCell ref="N81:O81"/>
    <mergeCell ref="Q81:S81"/>
    <mergeCell ref="T81:U81"/>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33:G133"/>
    <mergeCell ref="N135:U135"/>
    <mergeCell ref="N136:U136"/>
    <mergeCell ref="N155:U155"/>
    <mergeCell ref="A126:C126"/>
    <mergeCell ref="F126:H126"/>
    <mergeCell ref="N126:P126"/>
    <mergeCell ref="A128:H128"/>
    <mergeCell ref="N130:T130"/>
    <mergeCell ref="A132:G132"/>
    <mergeCell ref="N132:T132"/>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CCCC"/>
  </sheetPr>
  <dimension ref="A1:V246"/>
  <sheetViews>
    <sheetView topLeftCell="A131" workbookViewId="0">
      <selection activeCell="I128" sqref="I128"/>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76" t="s">
        <v>15</v>
      </c>
      <c r="C1" s="777"/>
      <c r="D1" s="777"/>
      <c r="E1" s="777"/>
      <c r="F1" s="777"/>
      <c r="G1" s="777"/>
      <c r="H1" s="777"/>
      <c r="I1" s="777"/>
      <c r="J1" s="135"/>
      <c r="K1" s="135"/>
      <c r="L1" s="135"/>
      <c r="N1" s="82">
        <f>A1</f>
        <v>50</v>
      </c>
      <c r="O1" s="810" t="s">
        <v>15</v>
      </c>
      <c r="P1" s="811"/>
      <c r="Q1" s="811"/>
      <c r="R1" s="811"/>
      <c r="S1" s="811"/>
      <c r="T1" s="811"/>
      <c r="U1" s="811"/>
    </row>
    <row r="2" spans="1:21" ht="21" x14ac:dyDescent="0.35">
      <c r="A2" s="1" t="s">
        <v>252</v>
      </c>
      <c r="B2" s="2"/>
      <c r="C2" s="2"/>
      <c r="D2" s="2"/>
      <c r="E2" s="2"/>
      <c r="F2" s="2"/>
      <c r="G2" s="2"/>
      <c r="H2" s="2"/>
      <c r="I2" s="2"/>
      <c r="N2" s="812" t="s">
        <v>18</v>
      </c>
      <c r="O2" s="812"/>
      <c r="P2" s="812"/>
      <c r="Q2" s="812"/>
      <c r="R2" s="812"/>
      <c r="S2" s="812"/>
      <c r="T2" s="812"/>
      <c r="U2" s="812"/>
    </row>
    <row r="3" spans="1:21" x14ac:dyDescent="0.25">
      <c r="A3" s="253" t="s">
        <v>607</v>
      </c>
      <c r="N3" s="813" t="str">
        <f>A3</f>
        <v>Based on the FLDOE 2024-25 Third Calculation</v>
      </c>
      <c r="O3" s="813"/>
      <c r="P3" s="813"/>
      <c r="Q3" s="813"/>
      <c r="R3" s="813"/>
      <c r="S3" s="813"/>
      <c r="T3" s="813"/>
      <c r="U3" s="813"/>
    </row>
    <row r="4" spans="1:21" x14ac:dyDescent="0.25">
      <c r="A4" s="778" t="s">
        <v>0</v>
      </c>
      <c r="B4" s="778"/>
      <c r="C4" s="779" t="s">
        <v>9</v>
      </c>
      <c r="D4" s="779"/>
      <c r="E4" s="779"/>
      <c r="F4" s="324" t="s">
        <v>621</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v>5330.98</v>
      </c>
      <c r="D8" s="86"/>
      <c r="E8" s="87"/>
      <c r="F8" s="84"/>
      <c r="G8" s="85" t="s">
        <v>455</v>
      </c>
      <c r="H8" s="286">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v>1</v>
      </c>
      <c r="I9" s="75"/>
      <c r="N9" s="12"/>
      <c r="O9" s="12"/>
      <c r="P9" s="13"/>
      <c r="Q9" s="13"/>
      <c r="R9" s="436" t="s">
        <v>454</v>
      </c>
      <c r="S9" s="436"/>
      <c r="T9" s="816">
        <f>H9</f>
        <v>1</v>
      </c>
      <c r="U9" s="816"/>
    </row>
    <row r="10" spans="1:21" x14ac:dyDescent="0.25">
      <c r="A10" s="7"/>
      <c r="B10" s="7" t="s">
        <v>328</v>
      </c>
      <c r="C10" s="8" t="s">
        <v>328</v>
      </c>
      <c r="D10" s="8" t="s">
        <v>328</v>
      </c>
      <c r="E10" s="8"/>
      <c r="F10" s="9"/>
      <c r="G10" s="9"/>
      <c r="H10" s="10"/>
      <c r="I10" s="341" t="s">
        <v>574</v>
      </c>
      <c r="N10" s="12"/>
      <c r="O10" s="12"/>
      <c r="P10" s="13"/>
      <c r="Q10" s="13"/>
      <c r="R10" s="14"/>
      <c r="S10" s="14"/>
      <c r="T10" s="15"/>
      <c r="U10" s="410" t="str">
        <f>I10</f>
        <v>2024-25</v>
      </c>
    </row>
    <row r="11" spans="1:21" x14ac:dyDescent="0.25">
      <c r="A11" s="7"/>
      <c r="B11" s="7"/>
      <c r="C11" s="88" t="s">
        <v>581</v>
      </c>
      <c r="D11" s="349" t="s">
        <v>582</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36" t="s">
        <v>1</v>
      </c>
      <c r="B12" s="36"/>
      <c r="C12" s="340" t="s">
        <v>2</v>
      </c>
      <c r="D12" s="340" t="s">
        <v>2</v>
      </c>
      <c r="E12" s="9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226.89</v>
      </c>
      <c r="D18" s="143">
        <v>0</v>
      </c>
      <c r="E18" s="116">
        <f>IF(D$30=0,C18*2,C18+D18)</f>
        <v>453.78</v>
      </c>
      <c r="F18" s="833">
        <v>0.97799999999999998</v>
      </c>
      <c r="G18" s="833"/>
      <c r="H18" s="80">
        <f t="shared" si="2"/>
        <v>443.79680000000002</v>
      </c>
      <c r="I18" s="101">
        <f t="shared" si="3"/>
        <v>2462399.44</v>
      </c>
      <c r="N18" s="834" t="s">
        <v>24</v>
      </c>
      <c r="O18" s="834"/>
      <c r="P18" s="831">
        <f t="shared" si="0"/>
        <v>0</v>
      </c>
      <c r="Q18" s="831"/>
      <c r="R18" s="835">
        <v>1</v>
      </c>
      <c r="S18" s="835"/>
      <c r="T18" s="95">
        <f t="shared" si="4"/>
        <v>0</v>
      </c>
      <c r="U18" s="524">
        <f t="shared" si="5"/>
        <v>0</v>
      </c>
    </row>
    <row r="19" spans="1:21" x14ac:dyDescent="0.25">
      <c r="A19" s="788" t="s">
        <v>25</v>
      </c>
      <c r="B19" s="788"/>
      <c r="C19" s="143">
        <v>40.799999999999997</v>
      </c>
      <c r="D19" s="143">
        <v>0</v>
      </c>
      <c r="E19" s="116">
        <f t="shared" si="1"/>
        <v>81.599999999999994</v>
      </c>
      <c r="F19" s="833">
        <v>0.97799999999999998</v>
      </c>
      <c r="G19" s="833"/>
      <c r="H19" s="80">
        <f t="shared" si="2"/>
        <v>79.8048</v>
      </c>
      <c r="I19" s="101">
        <f t="shared" si="3"/>
        <v>442795.65</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v>1.1919999999999999</v>
      </c>
      <c r="G26" s="833"/>
      <c r="H26" s="80">
        <f t="shared" si="2"/>
        <v>0</v>
      </c>
      <c r="I26" s="101">
        <f t="shared" si="3"/>
        <v>0</v>
      </c>
      <c r="L26" s="250"/>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v>1.1919999999999999</v>
      </c>
      <c r="G27" s="833"/>
      <c r="H27" s="80">
        <f t="shared" si="2"/>
        <v>0</v>
      </c>
      <c r="I27" s="101">
        <f t="shared" si="3"/>
        <v>0</v>
      </c>
      <c r="L27" s="250"/>
      <c r="N27" s="834" t="s">
        <v>86</v>
      </c>
      <c r="O27" s="834"/>
      <c r="P27" s="831">
        <f t="shared" si="0"/>
        <v>0</v>
      </c>
      <c r="Q27" s="831"/>
      <c r="R27" s="835">
        <v>1</v>
      </c>
      <c r="S27" s="835"/>
      <c r="T27" s="95">
        <f t="shared" si="4"/>
        <v>0</v>
      </c>
      <c r="U27" s="524">
        <f t="shared" si="5"/>
        <v>0</v>
      </c>
    </row>
    <row r="28" spans="1:21" x14ac:dyDescent="0.25">
      <c r="A28" s="788" t="s">
        <v>87</v>
      </c>
      <c r="B28" s="788"/>
      <c r="C28" s="143">
        <v>3.44</v>
      </c>
      <c r="D28" s="143">
        <v>0</v>
      </c>
      <c r="E28" s="116">
        <f t="shared" si="1"/>
        <v>6.88</v>
      </c>
      <c r="F28" s="833">
        <v>1.1919999999999999</v>
      </c>
      <c r="G28" s="833"/>
      <c r="H28" s="80">
        <f t="shared" si="2"/>
        <v>8.2010000000000005</v>
      </c>
      <c r="I28" s="101">
        <f t="shared" si="3"/>
        <v>45503.12</v>
      </c>
      <c r="N28" s="834" t="s">
        <v>87</v>
      </c>
      <c r="O28" s="834"/>
      <c r="P28" s="831">
        <f t="shared" si="0"/>
        <v>0</v>
      </c>
      <c r="Q28" s="831"/>
      <c r="R28" s="835">
        <v>1</v>
      </c>
      <c r="S28" s="835"/>
      <c r="T28" s="95">
        <f t="shared" si="4"/>
        <v>0</v>
      </c>
      <c r="U28" s="524">
        <f t="shared" si="5"/>
        <v>0</v>
      </c>
    </row>
    <row r="29" spans="1:21" x14ac:dyDescent="0.25">
      <c r="A29" s="788" t="s">
        <v>88</v>
      </c>
      <c r="B29" s="788"/>
      <c r="C29" s="110">
        <v>78.56</v>
      </c>
      <c r="D29" s="110">
        <v>0</v>
      </c>
      <c r="E29" s="154">
        <f t="shared" si="1"/>
        <v>157.12</v>
      </c>
      <c r="F29" s="833">
        <v>1.079</v>
      </c>
      <c r="G29" s="833"/>
      <c r="H29" s="93">
        <f t="shared" si="2"/>
        <v>169.5325</v>
      </c>
      <c r="I29" s="94">
        <f t="shared" si="3"/>
        <v>940648.36</v>
      </c>
      <c r="N29" s="836" t="s">
        <v>88</v>
      </c>
      <c r="O29" s="836"/>
      <c r="P29" s="831">
        <f t="shared" si="0"/>
        <v>0</v>
      </c>
      <c r="Q29" s="831"/>
      <c r="R29" s="837">
        <v>1</v>
      </c>
      <c r="S29" s="837"/>
      <c r="T29" s="95">
        <f t="shared" si="4"/>
        <v>0</v>
      </c>
      <c r="U29" s="524">
        <f t="shared" si="5"/>
        <v>0</v>
      </c>
    </row>
    <row r="30" spans="1:21" x14ac:dyDescent="0.25">
      <c r="A30" s="800" t="s">
        <v>5</v>
      </c>
      <c r="B30" s="800"/>
      <c r="C30" s="94">
        <f>SUM(C14:C29)</f>
        <v>349.69</v>
      </c>
      <c r="D30" s="94">
        <f>SUM(D14:D29)</f>
        <v>0</v>
      </c>
      <c r="E30" s="94">
        <f>SUM(E14:E29)</f>
        <v>699.38</v>
      </c>
      <c r="F30" s="792"/>
      <c r="G30" s="792"/>
      <c r="H30" s="99">
        <f>SUM(H14:H29)</f>
        <v>701.33510000000001</v>
      </c>
      <c r="I30" s="94">
        <f>SUM(I14:I29)</f>
        <v>3891346.57</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1" t="s">
        <v>251</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43" t="s">
        <v>232</v>
      </c>
      <c r="G34" s="843"/>
      <c r="H34" s="843"/>
      <c r="I34" s="101"/>
      <c r="N34" s="28"/>
      <c r="O34" s="28"/>
      <c r="P34" s="29"/>
      <c r="Q34" s="29"/>
      <c r="R34" s="30"/>
      <c r="S34" s="30"/>
      <c r="T34" s="102"/>
      <c r="U34" s="103"/>
    </row>
    <row r="35" spans="1:21" ht="15.6" hidden="1" customHeight="1" x14ac:dyDescent="0.25">
      <c r="A35" s="3"/>
      <c r="B35" s="69"/>
      <c r="C35" s="69"/>
      <c r="D35" s="69"/>
      <c r="E35" s="69"/>
      <c r="F35" s="843"/>
      <c r="G35" s="843"/>
      <c r="H35" s="843"/>
      <c r="I35" s="24" t="str">
        <f>I10</f>
        <v>2024-25</v>
      </c>
      <c r="N35" s="813" t="s">
        <v>26</v>
      </c>
      <c r="O35" s="813"/>
      <c r="P35" s="813"/>
      <c r="Q35" s="813"/>
      <c r="R35" s="813"/>
      <c r="S35" s="813"/>
      <c r="T35" s="813"/>
      <c r="U35" s="25" t="str">
        <f>I35</f>
        <v>2024-25</v>
      </c>
    </row>
    <row r="36" spans="1:21" hidden="1" x14ac:dyDescent="0.25">
      <c r="A36" s="26"/>
      <c r="B36" s="26"/>
      <c r="C36" s="88" t="s">
        <v>347</v>
      </c>
      <c r="D36" s="88"/>
      <c r="E36" s="89" t="s">
        <v>8</v>
      </c>
      <c r="F36" s="843"/>
      <c r="G36" s="843"/>
      <c r="H36" s="843"/>
      <c r="I36" s="24" t="s">
        <v>27</v>
      </c>
      <c r="N36" s="28"/>
      <c r="O36" s="28"/>
      <c r="P36" s="29"/>
      <c r="Q36" s="29"/>
      <c r="R36" s="30"/>
      <c r="S36" s="30"/>
      <c r="T36" s="102"/>
      <c r="U36" s="25" t="s">
        <v>27</v>
      </c>
    </row>
    <row r="37" spans="1:21" ht="26.25" hidden="1" x14ac:dyDescent="0.25">
      <c r="A37" s="782" t="s">
        <v>50</v>
      </c>
      <c r="B37" s="782"/>
      <c r="C37" s="340" t="s">
        <v>2</v>
      </c>
      <c r="D37" s="340"/>
      <c r="E37" s="90" t="s">
        <v>2</v>
      </c>
      <c r="F37" s="844"/>
      <c r="G37" s="844"/>
      <c r="H37" s="844"/>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701.33510000000001</v>
      </c>
      <c r="F46" s="34"/>
      <c r="G46" s="106"/>
      <c r="H46" s="107" t="s">
        <v>98</v>
      </c>
      <c r="I46" s="94">
        <f>SUM(I44,I30)</f>
        <v>3891346.57</v>
      </c>
      <c r="N46" s="846" t="s">
        <v>44</v>
      </c>
      <c r="O46" s="846"/>
      <c r="P46" s="846"/>
      <c r="Q46" s="846"/>
      <c r="R46" s="35">
        <f>R44+T30</f>
        <v>0</v>
      </c>
      <c r="S46" s="840" t="s">
        <v>42</v>
      </c>
      <c r="T46" s="840"/>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3" t="s">
        <v>460</v>
      </c>
      <c r="F50" s="444"/>
      <c r="G50" s="445"/>
      <c r="H50" s="445"/>
      <c r="I50" s="446"/>
      <c r="N50" s="464" t="s">
        <v>460</v>
      </c>
      <c r="O50" s="447"/>
      <c r="P50" s="447"/>
      <c r="Q50" s="447"/>
      <c r="R50" s="448"/>
      <c r="S50" s="449"/>
      <c r="T50" s="449"/>
      <c r="U50" s="456"/>
    </row>
    <row r="51" spans="1:22" x14ac:dyDescent="0.25">
      <c r="A51" s="441"/>
      <c r="B51" s="3" t="s">
        <v>577</v>
      </c>
      <c r="C51" s="26"/>
      <c r="D51" s="26"/>
      <c r="E51" s="43" t="s">
        <v>461</v>
      </c>
      <c r="F51" s="452">
        <v>4348406.2699999996</v>
      </c>
      <c r="G51" s="109" t="s">
        <v>6</v>
      </c>
      <c r="H51" s="453">
        <v>5.5899999999999998E-2</v>
      </c>
      <c r="I51" s="101">
        <f>ROUND(F51*H51,2)</f>
        <v>243075.91</v>
      </c>
      <c r="N51" s="458"/>
      <c r="O51" s="51"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4348406.2699999996</v>
      </c>
      <c r="G52" s="109" t="s">
        <v>6</v>
      </c>
      <c r="H52" s="453">
        <v>1.0699999999999999E-2</v>
      </c>
      <c r="I52" s="101">
        <f>ROUND(F52*H52,2)</f>
        <v>46527.95</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289603.86</v>
      </c>
      <c r="N53" s="28"/>
      <c r="O53" s="435" t="s">
        <v>462</v>
      </c>
      <c r="P53" s="28"/>
      <c r="Q53" s="44"/>
      <c r="R53" s="460"/>
      <c r="S53" s="461"/>
      <c r="T53" s="462"/>
      <c r="U53" s="454">
        <f>SUM(U51:U52)</f>
        <v>0</v>
      </c>
    </row>
    <row r="54" spans="1:22" x14ac:dyDescent="0.25">
      <c r="A54" s="241"/>
      <c r="C54" s="495" t="s">
        <v>505</v>
      </c>
      <c r="D54" s="495" t="s">
        <v>505</v>
      </c>
      <c r="G54" s="42"/>
      <c r="H54" s="114"/>
      <c r="I54" s="114"/>
      <c r="N54" s="512"/>
      <c r="O54" s="51"/>
      <c r="P54" s="40" t="s">
        <v>505</v>
      </c>
      <c r="Q54" s="40" t="s">
        <v>505</v>
      </c>
      <c r="R54" s="51"/>
      <c r="S54" s="51"/>
      <c r="T54" s="513"/>
      <c r="U54" s="514"/>
      <c r="V54" s="114"/>
    </row>
    <row r="55" spans="1:22" x14ac:dyDescent="0.25">
      <c r="A55" s="496"/>
      <c r="B55" s="496"/>
      <c r="C55" s="88" t="s">
        <v>581</v>
      </c>
      <c r="D55" s="349" t="s">
        <v>582</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
        <v>2</v>
      </c>
      <c r="D56" s="340" t="s">
        <v>2</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2" si="10">IF(D$72=0,C57*2,C57+D57)</f>
        <v>0</v>
      </c>
      <c r="F57" s="494" t="s">
        <v>498</v>
      </c>
      <c r="G57" s="494">
        <v>251</v>
      </c>
      <c r="H57" s="508">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37.89</v>
      </c>
      <c r="D63" s="143">
        <v>0</v>
      </c>
      <c r="E63" s="116">
        <f>IF(D$66=0,C63*2,C63+D63)</f>
        <v>75.78</v>
      </c>
      <c r="F63" s="495" t="s">
        <v>14</v>
      </c>
      <c r="G63" s="494">
        <v>251</v>
      </c>
      <c r="H63" s="508">
        <v>835</v>
      </c>
      <c r="I63" s="101">
        <f t="shared" si="11"/>
        <v>63276.3</v>
      </c>
      <c r="N63" s="849"/>
      <c r="O63" s="849"/>
      <c r="P63" s="851"/>
      <c r="Q63" s="851"/>
      <c r="R63" s="40" t="s">
        <v>14</v>
      </c>
      <c r="S63" s="500">
        <v>251</v>
      </c>
      <c r="T63" s="511">
        <f t="shared" si="12"/>
        <v>835</v>
      </c>
      <c r="U63" s="525">
        <f t="shared" si="13"/>
        <v>0</v>
      </c>
      <c r="V63" s="475"/>
    </row>
    <row r="64" spans="1:22" x14ac:dyDescent="0.25">
      <c r="A64" s="799"/>
      <c r="B64" s="799"/>
      <c r="C64" s="143">
        <v>2.91</v>
      </c>
      <c r="D64" s="143">
        <v>0</v>
      </c>
      <c r="E64" s="116">
        <f>IF(D$66=0,C64*2,C64+D64)</f>
        <v>5.82</v>
      </c>
      <c r="F64" s="495" t="s">
        <v>14</v>
      </c>
      <c r="G64" s="494">
        <v>252</v>
      </c>
      <c r="H64" s="508">
        <v>3168</v>
      </c>
      <c r="I64" s="101">
        <f t="shared" si="11"/>
        <v>18437.759999999998</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IF(D$66=0,C65*2,C65+D65)</f>
        <v>0</v>
      </c>
      <c r="F65" s="495" t="s">
        <v>14</v>
      </c>
      <c r="G65" s="494">
        <v>253</v>
      </c>
      <c r="H65" s="508">
        <v>6685</v>
      </c>
      <c r="I65" s="101">
        <f t="shared" si="11"/>
        <v>0</v>
      </c>
      <c r="N65" s="849"/>
      <c r="O65" s="849"/>
      <c r="P65" s="857"/>
      <c r="Q65" s="857"/>
      <c r="R65" s="40" t="s">
        <v>14</v>
      </c>
      <c r="S65" s="500">
        <v>253</v>
      </c>
      <c r="T65" s="511">
        <f t="shared" si="12"/>
        <v>6685</v>
      </c>
      <c r="U65" s="526">
        <f t="shared" si="13"/>
        <v>0</v>
      </c>
      <c r="V65" s="475"/>
    </row>
    <row r="66" spans="1:22" ht="16.5" thickBot="1" x14ac:dyDescent="0.3">
      <c r="A66" s="241"/>
      <c r="C66" s="97">
        <f>SUM(C57:C65)</f>
        <v>40.799999999999997</v>
      </c>
      <c r="D66" s="97">
        <f>SUM(D57:D65)</f>
        <v>0</v>
      </c>
      <c r="E66" s="97">
        <f>SUM(E57:E65)</f>
        <v>81.599999999999994</v>
      </c>
      <c r="F66" s="800" t="s">
        <v>507</v>
      </c>
      <c r="G66" s="800"/>
      <c r="H66" s="800"/>
      <c r="I66" s="97">
        <f>SUM(I57:I65)</f>
        <v>81714.06</v>
      </c>
      <c r="N66" s="512"/>
      <c r="O66" s="51"/>
      <c r="P66" s="858">
        <f>SUM(P57:P65)</f>
        <v>0</v>
      </c>
      <c r="Q66" s="858"/>
      <c r="R66" s="846" t="s">
        <v>507</v>
      </c>
      <c r="S66" s="846"/>
      <c r="T66" s="846"/>
      <c r="U66" s="527">
        <f>SUM(U57:U65)</f>
        <v>0</v>
      </c>
      <c r="V66" s="475"/>
    </row>
    <row r="67" spans="1:22" x14ac:dyDescent="0.25">
      <c r="A67" s="24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699.38</v>
      </c>
      <c r="D69" s="775" t="s">
        <v>474</v>
      </c>
      <c r="E69" s="775"/>
      <c r="F69" s="775"/>
      <c r="G69" s="775"/>
      <c r="H69" s="287">
        <v>210935.24</v>
      </c>
      <c r="I69" s="113"/>
      <c r="N69" s="853" t="s">
        <v>467</v>
      </c>
      <c r="O69" s="834"/>
      <c r="P69" s="41">
        <f>P30</f>
        <v>0</v>
      </c>
      <c r="Q69" s="854" t="s">
        <v>469</v>
      </c>
      <c r="R69" s="855"/>
      <c r="S69" s="855"/>
      <c r="T69" s="856">
        <f>H69</f>
        <v>210935.24</v>
      </c>
      <c r="U69" s="856"/>
    </row>
    <row r="70" spans="1:22" x14ac:dyDescent="0.25">
      <c r="B70" s="69"/>
      <c r="G70" s="42" t="s">
        <v>12</v>
      </c>
      <c r="H70" s="114">
        <f>ROUND(C69/H69,6)</f>
        <v>3.3159999999999999E-3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701.33510000000001</v>
      </c>
      <c r="D72" s="775" t="s">
        <v>475</v>
      </c>
      <c r="E72" s="775"/>
      <c r="F72" s="775"/>
      <c r="G72" s="775"/>
      <c r="H72" s="288">
        <v>237601.62</v>
      </c>
      <c r="I72" s="116"/>
      <c r="N72" s="853" t="s">
        <v>468</v>
      </c>
      <c r="O72" s="834"/>
      <c r="P72" s="41">
        <f>T30</f>
        <v>0</v>
      </c>
      <c r="Q72" s="854" t="s">
        <v>470</v>
      </c>
      <c r="R72" s="855"/>
      <c r="S72" s="855"/>
      <c r="T72" s="856">
        <f>H72</f>
        <v>237601.62</v>
      </c>
      <c r="U72" s="856"/>
    </row>
    <row r="73" spans="1:22" x14ac:dyDescent="0.25">
      <c r="G73" s="42" t="s">
        <v>12</v>
      </c>
      <c r="H73" s="114">
        <f>ROUND(C72/H72,6)</f>
        <v>2.9520000000000002E-3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699.38</v>
      </c>
      <c r="D75" s="767" t="s">
        <v>476</v>
      </c>
      <c r="E75" s="767"/>
      <c r="F75" s="767"/>
      <c r="G75" s="767"/>
      <c r="H75" s="287">
        <v>186826.74</v>
      </c>
      <c r="I75" s="113"/>
      <c r="N75" s="853" t="s">
        <v>466</v>
      </c>
      <c r="O75" s="834"/>
      <c r="P75" s="41">
        <f>P30</f>
        <v>0</v>
      </c>
      <c r="Q75" s="861" t="s">
        <v>471</v>
      </c>
      <c r="R75" s="862"/>
      <c r="S75" s="862"/>
      <c r="T75" s="856">
        <f>H75</f>
        <v>186826.74</v>
      </c>
      <c r="U75" s="856"/>
    </row>
    <row r="76" spans="1:22" x14ac:dyDescent="0.25">
      <c r="B76" s="69"/>
      <c r="G76" s="42" t="s">
        <v>12</v>
      </c>
      <c r="H76" s="114">
        <f>ROUND(C75/H75,6)</f>
        <v>3.7429999999999998E-3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699.38</v>
      </c>
      <c r="D78" s="795" t="s">
        <v>477</v>
      </c>
      <c r="E78" s="795"/>
      <c r="F78" s="795"/>
      <c r="G78" s="795"/>
      <c r="H78" s="287">
        <v>210630.63</v>
      </c>
      <c r="I78" s="113"/>
      <c r="N78" s="853" t="s">
        <v>466</v>
      </c>
      <c r="O78" s="834"/>
      <c r="P78" s="41">
        <f>P30</f>
        <v>0</v>
      </c>
      <c r="Q78" s="859" t="s">
        <v>472</v>
      </c>
      <c r="R78" s="860"/>
      <c r="S78" s="860"/>
      <c r="T78" s="856">
        <f>H78</f>
        <v>210630.63</v>
      </c>
      <c r="U78" s="856"/>
    </row>
    <row r="79" spans="1:22" x14ac:dyDescent="0.25">
      <c r="B79" s="69"/>
      <c r="G79" s="42" t="s">
        <v>12</v>
      </c>
      <c r="H79" s="114">
        <f>ROUND(C78/H78,6)</f>
        <v>3.32E-3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699.38</v>
      </c>
      <c r="D81" s="767" t="s">
        <v>478</v>
      </c>
      <c r="E81" s="767"/>
      <c r="F81" s="767"/>
      <c r="G81" s="767"/>
      <c r="H81" s="287">
        <v>186522.13</v>
      </c>
      <c r="I81" s="113"/>
      <c r="N81" s="853" t="s">
        <v>479</v>
      </c>
      <c r="O81" s="834"/>
      <c r="P81" s="41">
        <f>P30</f>
        <v>0</v>
      </c>
      <c r="Q81" s="861" t="s">
        <v>480</v>
      </c>
      <c r="R81" s="862"/>
      <c r="S81" s="862"/>
      <c r="T81" s="856">
        <f>H81</f>
        <v>186522.13</v>
      </c>
      <c r="U81" s="856"/>
    </row>
    <row r="82" spans="1:21" x14ac:dyDescent="0.25">
      <c r="B82" s="69"/>
      <c r="G82" s="42" t="s">
        <v>12</v>
      </c>
      <c r="H82" s="114">
        <f>ROUND(C81/H81,6)</f>
        <v>3.7499999999999999E-3</v>
      </c>
      <c r="I82" s="115"/>
      <c r="N82" s="834"/>
      <c r="O82" s="834"/>
      <c r="P82" s="834"/>
      <c r="Q82" s="834"/>
      <c r="R82" s="834"/>
      <c r="S82" s="834"/>
      <c r="T82" s="852">
        <f>ROUND(P81/T81,6)</f>
        <v>0</v>
      </c>
      <c r="U82" s="852"/>
    </row>
    <row r="83" spans="1:21" x14ac:dyDescent="0.25">
      <c r="A83" s="241"/>
      <c r="G83" s="42"/>
      <c r="H83" s="114"/>
      <c r="I83" s="114"/>
      <c r="N83" s="497"/>
      <c r="O83" s="497"/>
      <c r="P83" s="497"/>
      <c r="Q83" s="497"/>
      <c r="R83" s="497"/>
      <c r="S83" s="497"/>
      <c r="T83" s="498"/>
      <c r="U83" s="498"/>
    </row>
    <row r="84" spans="1:21" x14ac:dyDescent="0.25">
      <c r="A84" s="241"/>
      <c r="G84" s="42"/>
      <c r="H84" s="114"/>
      <c r="I84" s="114"/>
      <c r="N84" s="497"/>
      <c r="O84" s="497"/>
      <c r="P84" s="497"/>
      <c r="Q84" s="497"/>
      <c r="R84" s="497"/>
      <c r="S84" s="497"/>
      <c r="T84" s="498"/>
      <c r="U84" s="498"/>
    </row>
    <row r="85" spans="1:21" x14ac:dyDescent="0.25">
      <c r="A85" s="493" t="s">
        <v>514</v>
      </c>
      <c r="D85" s="69"/>
      <c r="E85" s="43" t="s">
        <v>316</v>
      </c>
      <c r="F85" s="289">
        <v>46301717</v>
      </c>
      <c r="G85" s="37" t="s">
        <v>6</v>
      </c>
      <c r="H85" s="473">
        <f>H79</f>
        <v>3.32E-3</v>
      </c>
      <c r="I85" s="101">
        <f>ROUND(F85*H85,2)</f>
        <v>153721.70000000001</v>
      </c>
      <c r="N85" s="504" t="s">
        <v>514</v>
      </c>
      <c r="O85" s="51"/>
      <c r="P85" s="51"/>
      <c r="Q85" s="44"/>
      <c r="R85" s="470">
        <f>F85</f>
        <v>46301717</v>
      </c>
      <c r="S85" s="38" t="s">
        <v>6</v>
      </c>
      <c r="T85" s="472">
        <f>T79</f>
        <v>0</v>
      </c>
      <c r="U85" s="524">
        <f>ROUND(R85*T85,2)</f>
        <v>0</v>
      </c>
    </row>
    <row r="86" spans="1:21" x14ac:dyDescent="0.25">
      <c r="A86" s="451"/>
      <c r="D86" s="69"/>
      <c r="E86" s="43"/>
      <c r="F86" s="275"/>
      <c r="G86" s="37"/>
      <c r="H86" s="473"/>
      <c r="I86" s="101"/>
      <c r="N86" s="51"/>
      <c r="O86" s="51"/>
      <c r="P86" s="51"/>
      <c r="Q86" s="44"/>
      <c r="R86" s="471"/>
      <c r="S86" s="38"/>
      <c r="T86" s="472"/>
      <c r="U86" s="528"/>
    </row>
    <row r="87" spans="1:21" x14ac:dyDescent="0.25">
      <c r="A87" s="797" t="s">
        <v>71</v>
      </c>
      <c r="B87" s="788"/>
      <c r="C87" s="788"/>
      <c r="D87" s="69"/>
      <c r="E87" s="43"/>
      <c r="F87" s="275"/>
      <c r="G87" s="37"/>
      <c r="H87" s="473"/>
      <c r="I87" s="101"/>
      <c r="N87" s="853" t="s">
        <v>522</v>
      </c>
      <c r="O87" s="834"/>
      <c r="P87" s="834"/>
      <c r="Q87" s="51"/>
      <c r="R87" s="471"/>
      <c r="S87" s="51"/>
      <c r="T87" s="38"/>
      <c r="U87" s="529"/>
    </row>
    <row r="88" spans="1:21" x14ac:dyDescent="0.25">
      <c r="A88" s="797" t="s">
        <v>99</v>
      </c>
      <c r="B88" s="788"/>
      <c r="C88" s="788"/>
      <c r="D88" s="69"/>
      <c r="E88" s="43" t="s">
        <v>3</v>
      </c>
      <c r="F88" s="289">
        <v>0</v>
      </c>
      <c r="G88" s="37" t="s">
        <v>6</v>
      </c>
      <c r="H88" s="473">
        <f>H70</f>
        <v>3.3159999999999999E-3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275"/>
      <c r="G89" s="37"/>
      <c r="H89" s="473"/>
      <c r="I89" s="101"/>
      <c r="N89" s="485"/>
      <c r="O89" s="45"/>
      <c r="P89" s="45"/>
      <c r="Q89" s="44"/>
      <c r="R89" s="470"/>
      <c r="S89" s="38"/>
      <c r="T89" s="472"/>
      <c r="U89" s="524"/>
    </row>
    <row r="90" spans="1:21" x14ac:dyDescent="0.25">
      <c r="A90" s="502" t="s">
        <v>515</v>
      </c>
      <c r="D90" s="69"/>
      <c r="E90" s="43" t="s">
        <v>481</v>
      </c>
      <c r="F90" s="289">
        <v>19125890</v>
      </c>
      <c r="G90" s="37" t="s">
        <v>6</v>
      </c>
      <c r="H90" s="473">
        <f>H82</f>
        <v>3.7499999999999999E-3</v>
      </c>
      <c r="I90" s="101">
        <f>ROUND(F90*H90,2)</f>
        <v>71722.09</v>
      </c>
      <c r="N90" s="504" t="s">
        <v>515</v>
      </c>
      <c r="O90" s="51"/>
      <c r="P90" s="51"/>
      <c r="Q90" s="44"/>
      <c r="R90" s="470">
        <f>F90</f>
        <v>19125890</v>
      </c>
      <c r="S90" s="38" t="s">
        <v>6</v>
      </c>
      <c r="T90" s="472">
        <f>T82</f>
        <v>0</v>
      </c>
      <c r="U90" s="524">
        <f>ROUND(R90*T90,2)</f>
        <v>0</v>
      </c>
    </row>
    <row r="91" spans="1:21" x14ac:dyDescent="0.25">
      <c r="A91" s="451"/>
      <c r="D91" s="69"/>
      <c r="E91" s="43"/>
      <c r="F91" s="275"/>
      <c r="G91" s="37"/>
      <c r="H91" s="473"/>
      <c r="I91" s="101"/>
      <c r="N91" s="459"/>
      <c r="O91" s="51"/>
      <c r="P91" s="51"/>
      <c r="Q91" s="44"/>
      <c r="R91" s="470"/>
      <c r="S91" s="38"/>
      <c r="T91" s="472"/>
      <c r="U91" s="524"/>
    </row>
    <row r="92" spans="1:21" x14ac:dyDescent="0.25">
      <c r="A92" s="502" t="s">
        <v>516</v>
      </c>
      <c r="D92" s="69"/>
      <c r="E92" s="43" t="s">
        <v>3</v>
      </c>
      <c r="F92" s="289">
        <v>11511363</v>
      </c>
      <c r="G92" s="37" t="s">
        <v>6</v>
      </c>
      <c r="H92" s="473">
        <f>H76</f>
        <v>3.7429999999999998E-3</v>
      </c>
      <c r="I92" s="101">
        <f t="shared" ref="I92:I98" si="14">ROUND(F92*H92,2)</f>
        <v>43087.03</v>
      </c>
      <c r="N92" s="504" t="s">
        <v>516</v>
      </c>
      <c r="O92" s="51"/>
      <c r="P92" s="51"/>
      <c r="Q92" s="44"/>
      <c r="R92" s="470">
        <f t="shared" ref="R92:R96" si="15">F92</f>
        <v>11511363</v>
      </c>
      <c r="S92" s="38" t="s">
        <v>6</v>
      </c>
      <c r="T92" s="472">
        <f>T76</f>
        <v>0</v>
      </c>
      <c r="U92" s="524">
        <f>ROUND(R92*T92,2)</f>
        <v>0</v>
      </c>
    </row>
    <row r="93" spans="1:21" x14ac:dyDescent="0.25">
      <c r="A93" s="81"/>
      <c r="D93" s="69"/>
      <c r="E93" s="43"/>
      <c r="F93" s="275"/>
      <c r="G93" s="37"/>
      <c r="H93" s="473"/>
      <c r="I93" s="101"/>
      <c r="N93" s="435"/>
      <c r="O93" s="51"/>
      <c r="P93" s="51"/>
      <c r="Q93" s="44"/>
      <c r="R93" s="471"/>
      <c r="S93" s="38"/>
      <c r="T93" s="472"/>
      <c r="U93" s="528"/>
    </row>
    <row r="94" spans="1:21" x14ac:dyDescent="0.25">
      <c r="A94" s="794" t="s">
        <v>482</v>
      </c>
      <c r="B94" s="788"/>
      <c r="C94" s="788"/>
      <c r="D94" s="69"/>
      <c r="E94" s="43" t="s">
        <v>4</v>
      </c>
      <c r="F94" s="289">
        <v>255756816</v>
      </c>
      <c r="G94" s="37" t="s">
        <v>6</v>
      </c>
      <c r="H94" s="473">
        <f>H73</f>
        <v>2.9520000000000002E-3</v>
      </c>
      <c r="I94" s="101">
        <f t="shared" si="14"/>
        <v>754994.12</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275"/>
      <c r="G95" s="37"/>
      <c r="H95" s="473"/>
      <c r="I95" s="101"/>
      <c r="N95" s="45"/>
      <c r="O95" s="45"/>
      <c r="P95" s="45"/>
      <c r="Q95" s="44"/>
      <c r="R95" s="470"/>
      <c r="S95" s="38"/>
      <c r="T95" s="472"/>
      <c r="U95" s="524"/>
    </row>
    <row r="96" spans="1:21" x14ac:dyDescent="0.25">
      <c r="A96" s="794" t="s">
        <v>483</v>
      </c>
      <c r="B96" s="788"/>
      <c r="C96" s="788"/>
      <c r="D96" s="69"/>
      <c r="E96" s="43" t="s">
        <v>4</v>
      </c>
      <c r="F96" s="289">
        <v>-15444055</v>
      </c>
      <c r="G96" s="37" t="s">
        <v>6</v>
      </c>
      <c r="H96" s="473">
        <f>H73</f>
        <v>2.9520000000000002E-3</v>
      </c>
      <c r="I96" s="101">
        <f t="shared" si="14"/>
        <v>-45590.85</v>
      </c>
      <c r="N96" s="853" t="s">
        <v>483</v>
      </c>
      <c r="O96" s="853"/>
      <c r="P96" s="853"/>
      <c r="Q96" s="44"/>
      <c r="R96" s="470">
        <f t="shared" si="15"/>
        <v>-15444055</v>
      </c>
      <c r="S96" s="38" t="s">
        <v>6</v>
      </c>
      <c r="T96" s="472">
        <f>T73</f>
        <v>0</v>
      </c>
      <c r="U96" s="524">
        <f>ROUND(R96*T96,2)</f>
        <v>0</v>
      </c>
    </row>
    <row r="97" spans="1:21" x14ac:dyDescent="0.25">
      <c r="A97" s="584"/>
      <c r="B97" s="583"/>
      <c r="C97" s="583"/>
      <c r="D97" s="583"/>
      <c r="E97" s="581"/>
      <c r="F97" s="275"/>
      <c r="G97" s="582"/>
      <c r="H97" s="473"/>
      <c r="I97" s="101"/>
      <c r="N97" s="587"/>
      <c r="O97" s="587"/>
      <c r="P97" s="587"/>
      <c r="Q97" s="44"/>
      <c r="R97" s="589"/>
      <c r="S97" s="588"/>
      <c r="T97" s="472"/>
      <c r="U97" s="528"/>
    </row>
    <row r="98" spans="1:21" x14ac:dyDescent="0.25">
      <c r="A98" s="584" t="s">
        <v>556</v>
      </c>
      <c r="B98" s="583"/>
      <c r="C98" s="583"/>
      <c r="D98" s="583"/>
      <c r="E98" s="581" t="s">
        <v>3</v>
      </c>
      <c r="F98" s="289">
        <v>5621424</v>
      </c>
      <c r="G98" s="582" t="s">
        <v>6</v>
      </c>
      <c r="H98" s="473">
        <f>H70</f>
        <v>3.3159999999999999E-3</v>
      </c>
      <c r="I98" s="101">
        <f t="shared" si="14"/>
        <v>18640.64</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81"/>
      <c r="B100" s="69"/>
      <c r="C100" s="69"/>
      <c r="D100" s="69"/>
      <c r="E100" s="43"/>
      <c r="F100" s="275"/>
      <c r="G100" s="37"/>
      <c r="H100" s="473"/>
      <c r="I100" s="101"/>
      <c r="N100" s="435"/>
      <c r="O100" s="435"/>
      <c r="P100" s="435"/>
      <c r="Q100" s="44"/>
      <c r="R100" s="471"/>
      <c r="S100" s="38"/>
      <c r="T100" s="472"/>
      <c r="U100" s="103"/>
    </row>
    <row r="101" spans="1:21" ht="15" customHeight="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119" t="s">
        <v>485</v>
      </c>
      <c r="F103" s="120" t="s">
        <v>106</v>
      </c>
      <c r="G103" s="121"/>
      <c r="H103" s="121"/>
      <c r="I103" s="121"/>
      <c r="N103" s="865" t="s">
        <v>35</v>
      </c>
      <c r="O103" s="865"/>
      <c r="P103" s="866" t="s">
        <v>487</v>
      </c>
      <c r="Q103" s="867"/>
      <c r="R103" s="856" t="s">
        <v>31</v>
      </c>
      <c r="S103" s="856"/>
      <c r="T103" s="856"/>
      <c r="U103" s="856"/>
    </row>
    <row r="104" spans="1:21" x14ac:dyDescent="0.25">
      <c r="A104" s="26"/>
      <c r="B104" s="52" t="s">
        <v>105</v>
      </c>
      <c r="C104" s="806">
        <f>H14+H15+H20+H23+H26</f>
        <v>0</v>
      </c>
      <c r="D104" s="806"/>
      <c r="E104" s="46">
        <f>H8</f>
        <v>1.0407999999999999</v>
      </c>
      <c r="F104" s="290">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290">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701.33510000000001</v>
      </c>
      <c r="D106" s="806"/>
      <c r="E106" s="46">
        <f>H8</f>
        <v>1.0407999999999999</v>
      </c>
      <c r="F106" s="290">
        <v>910.12</v>
      </c>
      <c r="G106" s="39" t="s">
        <v>12</v>
      </c>
      <c r="H106" s="94">
        <f>ROUND(C106*E106*F106,2)</f>
        <v>664341.69999999995</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701.33510000000001</v>
      </c>
      <c r="D107" s="796"/>
      <c r="E107" s="123"/>
      <c r="F107" s="123"/>
      <c r="G107" s="123"/>
      <c r="H107" s="124" t="s">
        <v>100</v>
      </c>
      <c r="I107" s="101">
        <f>IF(A1=75,0,H106+H105+H104)</f>
        <v>664341.69999999995</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90" t="s">
        <v>2</v>
      </c>
      <c r="F112" s="43"/>
      <c r="G112" s="43"/>
      <c r="H112" s="43"/>
      <c r="I112" s="43"/>
      <c r="N112" s="45"/>
      <c r="O112" s="45"/>
      <c r="P112" s="45"/>
      <c r="Q112" s="125"/>
      <c r="R112" s="125"/>
      <c r="S112" s="125"/>
      <c r="T112" s="125"/>
      <c r="U112" s="103"/>
    </row>
    <row r="113" spans="1:21" x14ac:dyDescent="0.25">
      <c r="A113" s="767" t="s">
        <v>443</v>
      </c>
      <c r="B113" s="768"/>
      <c r="C113" s="143">
        <v>380</v>
      </c>
      <c r="D113" s="143">
        <v>0</v>
      </c>
      <c r="E113" s="116">
        <f>C113</f>
        <v>380</v>
      </c>
      <c r="F113" s="126" t="s">
        <v>30</v>
      </c>
      <c r="G113" s="291">
        <v>607</v>
      </c>
      <c r="I113" s="101">
        <f>ROUND(G113*E113,2)</f>
        <v>230660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291">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559</v>
      </c>
      <c r="B117" s="788"/>
      <c r="C117" s="788"/>
      <c r="D117" s="69"/>
      <c r="E117" s="39" t="s">
        <v>317</v>
      </c>
      <c r="F117" s="773"/>
      <c r="G117" s="773"/>
      <c r="H117" s="773"/>
      <c r="I117" s="773"/>
      <c r="N117" s="853" t="s">
        <v>560</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5864637.0600000005</v>
      </c>
      <c r="J128" s="250"/>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J129" s="250"/>
      <c r="N129" s="504"/>
      <c r="O129" s="503"/>
      <c r="P129" s="503"/>
      <c r="Q129" s="305"/>
      <c r="R129" s="305"/>
      <c r="S129" s="305"/>
      <c r="T129" s="305"/>
      <c r="U129" s="103"/>
    </row>
    <row r="130" spans="1:21" ht="16.5" thickBot="1" x14ac:dyDescent="0.3">
      <c r="A130" s="584" t="s">
        <v>494</v>
      </c>
      <c r="B130" s="26"/>
      <c r="C130" s="26"/>
      <c r="D130" s="26"/>
      <c r="E130" s="26"/>
      <c r="F130" s="26"/>
      <c r="G130" s="26"/>
      <c r="H130" s="26"/>
      <c r="I130" s="101">
        <f>I128-I53</f>
        <v>5575033.2000000002</v>
      </c>
      <c r="J130" s="250"/>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J131" s="250"/>
      <c r="N131" s="28"/>
      <c r="O131" s="28"/>
      <c r="P131" s="28"/>
      <c r="Q131" s="28"/>
      <c r="R131" s="28"/>
      <c r="S131" s="28"/>
      <c r="T131" s="28"/>
      <c r="U131" s="138"/>
    </row>
    <row r="132" spans="1:21" x14ac:dyDescent="0.25">
      <c r="A132" s="794" t="s">
        <v>561</v>
      </c>
      <c r="B132" s="788"/>
      <c r="C132" s="788"/>
      <c r="D132" s="788"/>
      <c r="E132" s="788"/>
      <c r="F132" s="788"/>
      <c r="G132" s="788"/>
      <c r="H132" s="81" t="s">
        <v>375</v>
      </c>
      <c r="I132" s="134"/>
      <c r="J132" s="250"/>
      <c r="N132" s="853" t="s">
        <v>562</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5575033.2000000002</v>
      </c>
      <c r="I135" s="94">
        <f>ROUND(IF(E30=0,0,IF(E30&gt;250,-(((250/E30)*H135)*IF(G135="H",0.02,0.05)),IF(G135="H",-0.02*H135,-0.05*H135))),2)</f>
        <v>-39856.97</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5824780.0900000008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Payments'!Q72</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246</v>
      </c>
      <c r="B141" s="69"/>
      <c r="C141" s="69"/>
      <c r="D141" s="69"/>
      <c r="E141" s="69"/>
      <c r="F141" s="69"/>
      <c r="G141" s="69"/>
      <c r="H141" s="65"/>
      <c r="I141" s="101">
        <f>I137+I139</f>
        <v>5824780.0900000008</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247</v>
      </c>
      <c r="B143" s="69"/>
      <c r="C143" s="69"/>
      <c r="D143" s="69"/>
      <c r="E143" s="69"/>
      <c r="F143" s="69"/>
      <c r="G143" s="69"/>
      <c r="H143" s="65"/>
      <c r="I143" s="272">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485398.34</v>
      </c>
      <c r="K145" s="469"/>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71643.69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57" t="s">
        <v>7</v>
      </c>
      <c r="B151" s="357"/>
      <c r="C151" s="357"/>
      <c r="D151" s="357"/>
      <c r="E151" s="357"/>
      <c r="F151" s="357"/>
      <c r="G151" s="357"/>
      <c r="H151" s="357"/>
      <c r="I151" s="357"/>
      <c r="J151" s="134"/>
      <c r="N151" s="73"/>
      <c r="O151" s="73"/>
      <c r="P151" s="73"/>
      <c r="Q151" s="73"/>
      <c r="R151" s="73"/>
      <c r="S151" s="73"/>
      <c r="T151" s="73"/>
      <c r="U151" s="73"/>
    </row>
    <row r="152" spans="1:21" ht="12.75" customHeight="1" x14ac:dyDescent="0.25">
      <c r="A152" s="358" t="s">
        <v>259</v>
      </c>
      <c r="B152" s="359"/>
      <c r="C152" s="359"/>
      <c r="D152" s="359"/>
      <c r="E152" s="359"/>
      <c r="F152" s="359"/>
      <c r="G152" s="359"/>
      <c r="H152" s="359"/>
      <c r="I152" s="359"/>
      <c r="J152" s="77"/>
      <c r="K152" s="339"/>
      <c r="L152" s="76"/>
      <c r="M152" s="76"/>
      <c r="N152" s="73"/>
      <c r="O152" s="73"/>
      <c r="P152" s="73"/>
      <c r="Q152" s="73"/>
      <c r="R152" s="73"/>
      <c r="S152" s="73"/>
      <c r="T152" s="73"/>
      <c r="U152" s="73"/>
    </row>
    <row r="153" spans="1:21" ht="12.75" customHeight="1" x14ac:dyDescent="0.25">
      <c r="A153" s="364" t="s">
        <v>434</v>
      </c>
      <c r="B153" s="359"/>
      <c r="C153" s="359"/>
      <c r="D153" s="359"/>
      <c r="E153" s="359"/>
      <c r="F153" s="359"/>
      <c r="G153" s="359"/>
      <c r="H153" s="359"/>
      <c r="I153" s="359"/>
      <c r="J153" s="77"/>
      <c r="K153" s="339"/>
      <c r="L153" s="76"/>
      <c r="M153" s="76"/>
      <c r="N153" s="73"/>
      <c r="O153" s="73"/>
      <c r="P153" s="73"/>
      <c r="Q153" s="73"/>
      <c r="R153" s="73"/>
      <c r="S153" s="73"/>
      <c r="T153" s="73"/>
      <c r="U153" s="73"/>
    </row>
    <row r="154" spans="1:21" ht="12.75" customHeight="1" x14ac:dyDescent="0.25">
      <c r="A154" s="361" t="s">
        <v>435</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ht="12.75" customHeight="1" x14ac:dyDescent="0.2">
      <c r="A155" s="361" t="s">
        <v>436</v>
      </c>
      <c r="B155" s="360"/>
      <c r="C155" s="360"/>
      <c r="D155" s="360"/>
      <c r="E155" s="360"/>
      <c r="F155" s="360"/>
      <c r="G155" s="360"/>
      <c r="H155" s="360"/>
      <c r="I155" s="360"/>
      <c r="N155" s="879"/>
      <c r="O155" s="879"/>
      <c r="P155" s="879"/>
      <c r="Q155" s="879"/>
      <c r="R155" s="879"/>
      <c r="S155" s="879"/>
      <c r="T155" s="879"/>
      <c r="U155" s="879"/>
    </row>
    <row r="156" spans="1:21" s="76" customFormat="1" ht="12.75" customHeight="1" x14ac:dyDescent="0.2">
      <c r="A156" s="361" t="s">
        <v>437</v>
      </c>
      <c r="B156" s="360"/>
      <c r="C156" s="360"/>
      <c r="D156" s="360"/>
      <c r="E156" s="360"/>
      <c r="F156" s="360"/>
      <c r="G156" s="360"/>
      <c r="H156" s="360"/>
      <c r="I156" s="360"/>
      <c r="N156" s="73"/>
      <c r="O156" s="73"/>
      <c r="P156" s="73"/>
      <c r="Q156" s="73"/>
      <c r="R156" s="73"/>
      <c r="S156" s="73"/>
      <c r="T156" s="73"/>
      <c r="U156" s="73"/>
    </row>
    <row r="157" spans="1:21" s="76" customFormat="1" ht="12.75" customHeight="1" x14ac:dyDescent="0.2">
      <c r="A157" s="361" t="s">
        <v>438</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439</v>
      </c>
      <c r="B158" s="360"/>
      <c r="C158" s="360"/>
      <c r="D158" s="360"/>
      <c r="E158" s="360"/>
      <c r="F158" s="360"/>
      <c r="G158" s="360"/>
      <c r="H158" s="360"/>
      <c r="I158" s="360"/>
      <c r="N158" s="78"/>
    </row>
    <row r="159" spans="1:21" s="76" customFormat="1" ht="12.75" customHeight="1" x14ac:dyDescent="0.2">
      <c r="A159" s="361" t="s">
        <v>441</v>
      </c>
      <c r="B159" s="360"/>
      <c r="C159" s="360"/>
      <c r="D159" s="360"/>
      <c r="E159" s="360"/>
      <c r="F159" s="360"/>
      <c r="G159" s="360"/>
      <c r="H159" s="360"/>
      <c r="I159" s="360"/>
      <c r="K159" s="360"/>
      <c r="N159" s="78"/>
    </row>
    <row r="160" spans="1:21" s="76" customFormat="1" ht="12.75" customHeight="1" x14ac:dyDescent="0.2">
      <c r="A160" s="366" t="s">
        <v>440</v>
      </c>
      <c r="B160" s="360"/>
      <c r="C160" s="360"/>
      <c r="D160" s="360"/>
      <c r="E160" s="360"/>
      <c r="F160" s="360"/>
      <c r="G160" s="360"/>
      <c r="H160" s="360"/>
      <c r="I160" s="360"/>
      <c r="N160" s="78"/>
    </row>
    <row r="161" spans="1:14" s="76" customFormat="1" ht="12.75" customHeight="1" x14ac:dyDescent="0.2">
      <c r="A161" s="361" t="s">
        <v>442</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445</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447</v>
      </c>
      <c r="B165" s="360"/>
      <c r="C165" s="360"/>
      <c r="D165" s="360"/>
      <c r="E165" s="360"/>
      <c r="F165" s="360"/>
      <c r="G165" s="360"/>
      <c r="H165" s="360"/>
      <c r="I165" s="360"/>
      <c r="N165" s="78"/>
    </row>
    <row r="166" spans="1:14" s="76" customFormat="1" ht="12.75" customHeight="1" x14ac:dyDescent="0.2">
      <c r="A166" s="366" t="s">
        <v>446</v>
      </c>
      <c r="B166" s="360"/>
      <c r="C166" s="360"/>
      <c r="D166" s="360"/>
      <c r="E166" s="360"/>
      <c r="F166" s="360"/>
      <c r="G166" s="360"/>
      <c r="H166" s="360"/>
      <c r="I166" s="360"/>
      <c r="N166" s="78"/>
    </row>
    <row r="167" spans="1:14" s="76" customFormat="1" ht="12.75" customHeight="1" x14ac:dyDescent="0.2">
      <c r="A167" s="361" t="s">
        <v>448</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450</v>
      </c>
      <c r="B169" s="360"/>
      <c r="C169" s="360"/>
      <c r="D169" s="360"/>
      <c r="E169" s="360"/>
      <c r="F169" s="360"/>
      <c r="G169" s="360"/>
      <c r="H169" s="360"/>
      <c r="I169" s="360"/>
      <c r="N169" s="78"/>
    </row>
    <row r="170" spans="1:14" s="76" customFormat="1" ht="12.75" customHeight="1" x14ac:dyDescent="0.2">
      <c r="A170" s="366" t="s">
        <v>449</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451</v>
      </c>
      <c r="B175" s="370"/>
      <c r="C175" s="370"/>
      <c r="D175" s="370"/>
      <c r="E175" s="370"/>
      <c r="F175" s="370"/>
      <c r="G175" s="370"/>
      <c r="H175" s="370"/>
      <c r="I175" s="370"/>
      <c r="N175" s="78"/>
    </row>
    <row r="176" spans="1:14" s="76" customFormat="1" ht="12.75" customHeight="1" x14ac:dyDescent="0.2">
      <c r="A176" s="367" t="s">
        <v>452</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s>
  <phoneticPr fontId="12"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76" t="s">
        <v>15</v>
      </c>
      <c r="C1" s="777"/>
      <c r="D1" s="777"/>
      <c r="E1" s="777"/>
      <c r="F1" s="777"/>
      <c r="G1" s="777"/>
      <c r="H1" s="777"/>
      <c r="I1" s="777"/>
      <c r="J1" s="135"/>
      <c r="K1" s="135"/>
      <c r="L1" s="135"/>
      <c r="N1" s="82">
        <f>A1</f>
        <v>50</v>
      </c>
      <c r="O1" s="810" t="s">
        <v>15</v>
      </c>
      <c r="P1" s="811"/>
      <c r="Q1" s="811"/>
      <c r="R1" s="811"/>
      <c r="S1" s="811"/>
      <c r="T1" s="811"/>
      <c r="U1" s="811"/>
    </row>
    <row r="2" spans="1:21" ht="21" x14ac:dyDescent="0.35">
      <c r="A2" s="1" t="s">
        <v>110</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302.67</v>
      </c>
      <c r="D18" s="143">
        <v>0</v>
      </c>
      <c r="E18" s="116">
        <f t="shared" si="1"/>
        <v>605.34</v>
      </c>
      <c r="F18" s="833">
        <f>'1461'!F18:G18</f>
        <v>0.97799999999999998</v>
      </c>
      <c r="G18" s="833"/>
      <c r="H18" s="80">
        <f t="shared" si="2"/>
        <v>592.02250000000004</v>
      </c>
      <c r="I18" s="101">
        <f t="shared" si="3"/>
        <v>3284827.36</v>
      </c>
      <c r="N18" s="834" t="s">
        <v>24</v>
      </c>
      <c r="O18" s="834"/>
      <c r="P18" s="831">
        <f t="shared" si="0"/>
        <v>0</v>
      </c>
      <c r="Q18" s="831"/>
      <c r="R18" s="835">
        <v>1</v>
      </c>
      <c r="S18" s="835"/>
      <c r="T18" s="95">
        <f t="shared" si="4"/>
        <v>0</v>
      </c>
      <c r="U18" s="524">
        <f t="shared" si="5"/>
        <v>0</v>
      </c>
    </row>
    <row r="19" spans="1:21" x14ac:dyDescent="0.25">
      <c r="A19" s="788" t="s">
        <v>25</v>
      </c>
      <c r="B19" s="788"/>
      <c r="C19" s="143">
        <v>131.19999999999999</v>
      </c>
      <c r="D19" s="143">
        <v>0</v>
      </c>
      <c r="E19" s="116">
        <f t="shared" si="1"/>
        <v>262.39999999999998</v>
      </c>
      <c r="F19" s="833">
        <f>'1461'!F19:G19</f>
        <v>0.97799999999999998</v>
      </c>
      <c r="G19" s="833"/>
      <c r="H19" s="80">
        <f t="shared" si="2"/>
        <v>256.62720000000002</v>
      </c>
      <c r="I19" s="101">
        <f t="shared" si="3"/>
        <v>1423891.91</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2.44</v>
      </c>
      <c r="D28" s="143">
        <v>0</v>
      </c>
      <c r="E28" s="116">
        <f t="shared" si="1"/>
        <v>4.88</v>
      </c>
      <c r="F28" s="833">
        <f>'1461'!F28:G28</f>
        <v>1.1919999999999999</v>
      </c>
      <c r="G28" s="833"/>
      <c r="H28" s="80">
        <f t="shared" si="2"/>
        <v>5.8170000000000002</v>
      </c>
      <c r="I28" s="101">
        <f t="shared" si="3"/>
        <v>32275.53</v>
      </c>
      <c r="N28" s="834" t="s">
        <v>87</v>
      </c>
      <c r="O28" s="834"/>
      <c r="P28" s="831">
        <f t="shared" si="0"/>
        <v>0</v>
      </c>
      <c r="Q28" s="831"/>
      <c r="R28" s="835">
        <v>1</v>
      </c>
      <c r="S28" s="835"/>
      <c r="T28" s="95">
        <f t="shared" si="4"/>
        <v>0</v>
      </c>
      <c r="U28" s="524">
        <f t="shared" si="5"/>
        <v>0</v>
      </c>
    </row>
    <row r="29" spans="1:21" x14ac:dyDescent="0.25">
      <c r="A29" s="788" t="s">
        <v>88</v>
      </c>
      <c r="B29" s="788"/>
      <c r="C29" s="110">
        <v>121.01</v>
      </c>
      <c r="D29" s="110">
        <v>0</v>
      </c>
      <c r="E29" s="154">
        <f t="shared" si="1"/>
        <v>242.02</v>
      </c>
      <c r="F29" s="833">
        <f>'1461'!F29:G29</f>
        <v>1.079</v>
      </c>
      <c r="G29" s="833"/>
      <c r="H29" s="93">
        <f t="shared" si="2"/>
        <v>261.13959999999997</v>
      </c>
      <c r="I29" s="94">
        <f t="shared" si="3"/>
        <v>1448928.89</v>
      </c>
      <c r="N29" s="836" t="s">
        <v>88</v>
      </c>
      <c r="O29" s="836"/>
      <c r="P29" s="831">
        <f t="shared" si="0"/>
        <v>0</v>
      </c>
      <c r="Q29" s="831"/>
      <c r="R29" s="837">
        <v>1</v>
      </c>
      <c r="S29" s="837"/>
      <c r="T29" s="95">
        <f t="shared" si="4"/>
        <v>0</v>
      </c>
      <c r="U29" s="524">
        <f t="shared" si="5"/>
        <v>0</v>
      </c>
    </row>
    <row r="30" spans="1:21" x14ac:dyDescent="0.25">
      <c r="A30" s="800" t="s">
        <v>5</v>
      </c>
      <c r="B30" s="800"/>
      <c r="C30" s="94">
        <f>SUM(C14:C29)</f>
        <v>557.32000000000005</v>
      </c>
      <c r="D30" s="94">
        <f>SUM(D14:D29)</f>
        <v>0</v>
      </c>
      <c r="E30" s="94">
        <f>SUM(E14:E29)</f>
        <v>1114.6400000000001</v>
      </c>
      <c r="F30" s="792"/>
      <c r="G30" s="792"/>
      <c r="H30" s="99">
        <f>SUM(H14:H29)</f>
        <v>1115.6062999999999</v>
      </c>
      <c r="I30" s="94">
        <f>SUM(I14:I29)</f>
        <v>6189923.6899999995</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1115.6062999999999</v>
      </c>
      <c r="F46" s="34"/>
      <c r="G46" s="106"/>
      <c r="H46" s="107" t="s">
        <v>98</v>
      </c>
      <c r="I46" s="94">
        <f>SUM(I44,I30)</f>
        <v>6189923.6899999995</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5835656.870000001</v>
      </c>
      <c r="G51" s="109" t="s">
        <v>6</v>
      </c>
      <c r="H51" s="453">
        <v>5.5899999999999998E-2</v>
      </c>
      <c r="I51" s="101">
        <f>ROUND(F51*H51,2)</f>
        <v>326213.21999999997</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5835656.870000001</v>
      </c>
      <c r="G52" s="109" t="s">
        <v>6</v>
      </c>
      <c r="H52" s="453">
        <v>1.0699999999999999E-2</v>
      </c>
      <c r="I52" s="101">
        <f>ROUND(F52*H52,2)</f>
        <v>62441.53</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388654.75</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2" si="10">IF(D$72=0,C57*2,C57+D57)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119.29</v>
      </c>
      <c r="D63" s="143">
        <v>0</v>
      </c>
      <c r="E63" s="116">
        <f>IF(D$66=0,C63*2,C63+D63)</f>
        <v>238.58</v>
      </c>
      <c r="F63" s="495" t="s">
        <v>14</v>
      </c>
      <c r="G63" s="494">
        <v>251</v>
      </c>
      <c r="H63" s="508">
        <f>'1461'!H63</f>
        <v>835</v>
      </c>
      <c r="I63" s="101">
        <f t="shared" si="11"/>
        <v>199214.3</v>
      </c>
      <c r="N63" s="849"/>
      <c r="O63" s="849"/>
      <c r="P63" s="851"/>
      <c r="Q63" s="851"/>
      <c r="R63" s="40" t="s">
        <v>14</v>
      </c>
      <c r="S63" s="500">
        <v>251</v>
      </c>
      <c r="T63" s="511">
        <f t="shared" si="12"/>
        <v>835</v>
      </c>
      <c r="U63" s="525">
        <f t="shared" si="13"/>
        <v>0</v>
      </c>
      <c r="V63" s="475"/>
    </row>
    <row r="64" spans="1:22" x14ac:dyDescent="0.25">
      <c r="A64" s="799"/>
      <c r="B64" s="799"/>
      <c r="C64" s="143">
        <v>11.91</v>
      </c>
      <c r="D64" s="143">
        <v>0</v>
      </c>
      <c r="E64" s="116">
        <f>IF(D$66=0,C64*2,C64+D64)</f>
        <v>23.82</v>
      </c>
      <c r="F64" s="495" t="s">
        <v>14</v>
      </c>
      <c r="G64" s="494">
        <v>252</v>
      </c>
      <c r="H64" s="508">
        <f>'1461'!H64</f>
        <v>3168</v>
      </c>
      <c r="I64" s="101">
        <f t="shared" si="11"/>
        <v>75461.759999999995</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IF(D$66=0,C65*2,C65+D65)</f>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131.20000000000002</v>
      </c>
      <c r="D66" s="97">
        <f>SUM(D57:D65)</f>
        <v>0</v>
      </c>
      <c r="E66" s="97">
        <f>SUM(E57:E65)</f>
        <v>262.40000000000003</v>
      </c>
      <c r="F66" s="800" t="s">
        <v>507</v>
      </c>
      <c r="G66" s="800"/>
      <c r="H66" s="800"/>
      <c r="I66" s="97">
        <f>SUM(I57:I65)</f>
        <v>274676.06</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1114.6400000000001</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5.2839999999999996E-3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1115.6062999999999</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4.6950000000000004E-3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1114.6400000000001</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5.9659999999999999E-3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1114.6400000000001</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5.2919999999999998E-3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1114.6400000000001</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5.9760000000000004E-3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5.2919999999999998E-3</v>
      </c>
      <c r="I85" s="101">
        <f>ROUND(F85*H85,2)</f>
        <v>245028.69</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5.2839999999999996E-3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5.9760000000000004E-3</v>
      </c>
      <c r="I90" s="101">
        <f>ROUND(F90*H90,2)</f>
        <v>114296.32000000001</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5.9659999999999999E-3</v>
      </c>
      <c r="I92" s="101">
        <f t="shared" ref="I92:I96" si="14">ROUND(F92*H92,2)</f>
        <v>68676.789999999994</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4.6950000000000004E-3</v>
      </c>
      <c r="I94" s="101">
        <f t="shared" si="14"/>
        <v>1200778.25</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4.6950000000000004E-3</v>
      </c>
      <c r="I96" s="101">
        <f t="shared" si="14"/>
        <v>-72509.84</v>
      </c>
      <c r="N96" s="853" t="s">
        <v>483</v>
      </c>
      <c r="O96" s="834"/>
      <c r="P96" s="834"/>
      <c r="Q96" s="44"/>
      <c r="R96" s="470">
        <f t="shared" si="15"/>
        <v>-15444055</v>
      </c>
      <c r="S96" s="38" t="s">
        <v>6</v>
      </c>
      <c r="T96" s="472">
        <f>T73</f>
        <v>0</v>
      </c>
      <c r="U96" s="524">
        <f>ROUND(R96*T96,2)</f>
        <v>0</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5.2839999999999996E-3</v>
      </c>
      <c r="I98" s="101">
        <f t="shared" ref="I98" si="16">ROUND(F98*H98,2)</f>
        <v>29703.599999999999</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1115.6062999999999</v>
      </c>
      <c r="D106" s="806"/>
      <c r="E106" s="46">
        <f>H8</f>
        <v>1.0407999999999999</v>
      </c>
      <c r="F106" s="302">
        <f>'1461'!F106</f>
        <v>910.12</v>
      </c>
      <c r="G106" s="39" t="s">
        <v>12</v>
      </c>
      <c r="H106" s="94">
        <f>ROUND(C106*E106*F106,2)</f>
        <v>1056761.3</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1115.6062999999999</v>
      </c>
      <c r="D107" s="796"/>
      <c r="E107" s="123"/>
      <c r="F107" s="123"/>
      <c r="G107" s="123"/>
      <c r="H107" s="124" t="s">
        <v>100</v>
      </c>
      <c r="I107" s="101">
        <f>IF(A1=75,0,H106+H105+H104)</f>
        <v>1056761.3</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8"/>
      <c r="D110" s="8"/>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784</v>
      </c>
      <c r="D113" s="143">
        <v>0</v>
      </c>
      <c r="E113" s="116">
        <f>C113</f>
        <v>784</v>
      </c>
      <c r="F113" s="126" t="s">
        <v>30</v>
      </c>
      <c r="G113" s="303">
        <f>'1461'!G113</f>
        <v>607</v>
      </c>
      <c r="I113" s="101">
        <f>ROUND(G113*E113,2)</f>
        <v>475888</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9583222.8599999994</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9194568.1099999994</v>
      </c>
      <c r="N130" s="846" t="s">
        <v>33</v>
      </c>
      <c r="O130" s="846"/>
      <c r="P130" s="846"/>
      <c r="Q130" s="846"/>
      <c r="R130" s="846"/>
      <c r="S130" s="846"/>
      <c r="T130" s="84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495</v>
      </c>
      <c r="B132" s="788"/>
      <c r="C132" s="788"/>
      <c r="D132" s="788"/>
      <c r="E132" s="788"/>
      <c r="F132" s="788"/>
      <c r="G132" s="788"/>
      <c r="H132" s="81" t="s">
        <v>375</v>
      </c>
      <c r="I132" s="134"/>
      <c r="N132" s="28"/>
      <c r="O132" s="28"/>
      <c r="P132" s="28"/>
      <c r="Q132" s="28"/>
      <c r="R132" s="28"/>
      <c r="S132" s="28"/>
      <c r="T132" s="28"/>
      <c r="U132" s="138"/>
    </row>
    <row r="133" spans="1:21" x14ac:dyDescent="0.25">
      <c r="A133" s="788" t="s">
        <v>70</v>
      </c>
      <c r="B133" s="788"/>
      <c r="C133" s="788"/>
      <c r="D133" s="788"/>
      <c r="E133" s="788"/>
      <c r="F133" s="788"/>
      <c r="G133" s="788"/>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9194568.1099999994</v>
      </c>
      <c r="I135" s="94">
        <f>ROUND(IF(E30=0,0,IF(E30&gt;250,-(((250/E30)*H135)*IF(G135="H",0.02,0.05)),IF(G135="H",-0.02*H135,-0.05*H135))),2)</f>
        <v>-41244.559999999998</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9541978.2999999989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Payments'!Q73</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9541978.2999999989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795164.86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142646.80220000001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434</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435</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436</v>
      </c>
      <c r="B155" s="360"/>
      <c r="C155" s="360"/>
      <c r="D155" s="360"/>
      <c r="E155" s="360"/>
      <c r="F155" s="360"/>
      <c r="G155" s="360"/>
      <c r="H155" s="360"/>
      <c r="I155" s="360"/>
      <c r="N155" s="879"/>
      <c r="O155" s="879"/>
      <c r="P155" s="879"/>
      <c r="Q155" s="879"/>
      <c r="R155" s="879"/>
      <c r="S155" s="879"/>
      <c r="T155" s="879"/>
      <c r="U155" s="879"/>
    </row>
    <row r="156" spans="1:21" s="76" customFormat="1" x14ac:dyDescent="0.2">
      <c r="A156" s="358" t="s">
        <v>437</v>
      </c>
      <c r="B156" s="360"/>
      <c r="C156" s="360"/>
      <c r="D156" s="360"/>
      <c r="E156" s="360"/>
      <c r="F156" s="360"/>
      <c r="G156" s="360"/>
      <c r="H156" s="360"/>
      <c r="I156" s="360"/>
      <c r="N156" s="73"/>
      <c r="O156" s="73"/>
      <c r="P156" s="73"/>
      <c r="Q156" s="73"/>
      <c r="R156" s="73"/>
      <c r="S156" s="73"/>
      <c r="T156" s="73"/>
      <c r="U156" s="73"/>
    </row>
    <row r="157" spans="1:21" s="76" customFormat="1" x14ac:dyDescent="0.2">
      <c r="A157" s="358" t="s">
        <v>438</v>
      </c>
      <c r="B157" s="360"/>
      <c r="C157" s="360"/>
      <c r="D157" s="360"/>
      <c r="E157" s="360"/>
      <c r="F157" s="360"/>
      <c r="G157" s="360"/>
      <c r="H157" s="360"/>
      <c r="I157" s="360"/>
      <c r="N157" s="78"/>
      <c r="O157" s="79"/>
      <c r="P157" s="79"/>
      <c r="Q157" s="79"/>
      <c r="R157" s="79"/>
      <c r="S157" s="79"/>
      <c r="T157" s="79"/>
      <c r="U157" s="79"/>
    </row>
    <row r="158" spans="1:21" s="76" customFormat="1" x14ac:dyDescent="0.2">
      <c r="A158" s="358" t="s">
        <v>439</v>
      </c>
      <c r="B158" s="360"/>
      <c r="C158" s="360"/>
      <c r="D158" s="360"/>
      <c r="E158" s="360"/>
      <c r="F158" s="360"/>
      <c r="G158" s="360"/>
      <c r="H158" s="360"/>
      <c r="I158" s="360"/>
      <c r="N158" s="78"/>
    </row>
    <row r="159" spans="1:21" s="76" customFormat="1" x14ac:dyDescent="0.2">
      <c r="A159" s="358" t="s">
        <v>441</v>
      </c>
      <c r="B159" s="360"/>
      <c r="C159" s="360"/>
      <c r="D159" s="360"/>
      <c r="E159" s="360"/>
      <c r="F159" s="360"/>
      <c r="G159" s="360"/>
      <c r="H159" s="360"/>
      <c r="I159" s="360"/>
      <c r="N159" s="78"/>
    </row>
    <row r="160" spans="1:21" s="76" customFormat="1" x14ac:dyDescent="0.2">
      <c r="A160" s="364" t="s">
        <v>440</v>
      </c>
      <c r="B160" s="360"/>
      <c r="C160" s="360"/>
      <c r="D160" s="360"/>
      <c r="E160" s="360"/>
      <c r="F160" s="360"/>
      <c r="G160" s="360"/>
      <c r="H160" s="360"/>
      <c r="I160" s="360"/>
      <c r="N160" s="78"/>
    </row>
    <row r="161" spans="1:14" s="76" customFormat="1" x14ac:dyDescent="0.2">
      <c r="A161" s="358" t="s">
        <v>442</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445</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447</v>
      </c>
      <c r="B165" s="360"/>
      <c r="C165" s="360"/>
      <c r="D165" s="360"/>
      <c r="E165" s="360"/>
      <c r="F165" s="360"/>
      <c r="G165" s="360"/>
      <c r="H165" s="360"/>
      <c r="I165" s="360"/>
      <c r="N165" s="78"/>
    </row>
    <row r="166" spans="1:14" s="76" customFormat="1" ht="15.75" customHeight="1" x14ac:dyDescent="0.2">
      <c r="A166" s="364" t="s">
        <v>446</v>
      </c>
      <c r="B166" s="360"/>
      <c r="C166" s="360"/>
      <c r="D166" s="360"/>
      <c r="E166" s="360"/>
      <c r="F166" s="360"/>
      <c r="G166" s="360"/>
      <c r="H166" s="360"/>
      <c r="I166" s="360"/>
      <c r="N166" s="78"/>
    </row>
    <row r="167" spans="1:14" s="76" customFormat="1" ht="15.75" customHeight="1" x14ac:dyDescent="0.2">
      <c r="A167" s="358" t="s">
        <v>448</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450</v>
      </c>
      <c r="B169" s="360"/>
      <c r="C169" s="360"/>
      <c r="D169" s="360"/>
      <c r="E169" s="360"/>
      <c r="F169" s="360"/>
      <c r="G169" s="360"/>
      <c r="H169" s="360"/>
      <c r="I169" s="360"/>
      <c r="N169" s="78"/>
    </row>
    <row r="170" spans="1:14" s="76" customFormat="1" ht="15.75" customHeight="1" x14ac:dyDescent="0.2">
      <c r="A170" s="364" t="s">
        <v>449</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451</v>
      </c>
      <c r="B175" s="370"/>
      <c r="C175" s="370"/>
      <c r="D175" s="370"/>
      <c r="E175" s="370"/>
      <c r="F175" s="370"/>
      <c r="G175" s="370"/>
      <c r="H175" s="370"/>
      <c r="I175" s="370"/>
      <c r="J175" s="3"/>
      <c r="K175" s="3"/>
      <c r="L175" s="3"/>
      <c r="M175" s="3"/>
      <c r="N175" s="78"/>
    </row>
    <row r="176" spans="1:14" s="76" customFormat="1" ht="15.75" customHeight="1" x14ac:dyDescent="0.2">
      <c r="A176" s="376" t="s">
        <v>452</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111</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26.65</v>
      </c>
      <c r="D19" s="143">
        <v>0</v>
      </c>
      <c r="E19" s="116">
        <f t="shared" si="1"/>
        <v>53.3</v>
      </c>
      <c r="F19" s="833">
        <f>'1461'!F19:G19</f>
        <v>0.97799999999999998</v>
      </c>
      <c r="G19" s="833"/>
      <c r="H19" s="80">
        <f t="shared" si="2"/>
        <v>52.127400000000002</v>
      </c>
      <c r="I19" s="101">
        <f>ROUND(ROUND(ROUND(H19*$C$8,4)*($H$8),2)*(MAX($H$9,1)),2)</f>
        <v>289228.03999999998</v>
      </c>
      <c r="J19" s="65" t="str">
        <f>IF(ROUND(E19,2)=ROUND(SUM(E63:E65),2)," ","CHECK 4-8 LINES BELOW")</f>
        <v xml:space="preserve"> </v>
      </c>
      <c r="N19" s="834" t="s">
        <v>25</v>
      </c>
      <c r="O19" s="834"/>
      <c r="P19" s="831">
        <f t="shared" si="0"/>
        <v>53.3</v>
      </c>
      <c r="Q19" s="831"/>
      <c r="R19" s="835">
        <v>1</v>
      </c>
      <c r="S19" s="835"/>
      <c r="T19" s="95">
        <f t="shared" si="4"/>
        <v>53.3</v>
      </c>
      <c r="U19" s="523">
        <f t="shared" si="5"/>
        <v>295734.2</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10.43</v>
      </c>
      <c r="D22" s="143">
        <v>0</v>
      </c>
      <c r="E22" s="116">
        <f t="shared" si="1"/>
        <v>20.86</v>
      </c>
      <c r="F22" s="833">
        <f>'1461'!F22:G22</f>
        <v>3.6970000000000001</v>
      </c>
      <c r="G22" s="833"/>
      <c r="H22" s="80">
        <f t="shared" si="2"/>
        <v>77.119399999999999</v>
      </c>
      <c r="I22" s="101">
        <f t="shared" si="3"/>
        <v>427895.76</v>
      </c>
      <c r="N22" s="834" t="s">
        <v>81</v>
      </c>
      <c r="O22" s="834"/>
      <c r="P22" s="831">
        <f t="shared" si="0"/>
        <v>20.86</v>
      </c>
      <c r="Q22" s="831"/>
      <c r="R22" s="835">
        <v>1</v>
      </c>
      <c r="S22" s="835"/>
      <c r="T22" s="95">
        <f t="shared" si="4"/>
        <v>20.86</v>
      </c>
      <c r="U22" s="524">
        <f t="shared" si="5"/>
        <v>115741.38</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37.08</v>
      </c>
      <c r="D30" s="94">
        <f>SUM(D14:D29)</f>
        <v>0</v>
      </c>
      <c r="E30" s="94">
        <f>SUM(E14:E29)</f>
        <v>74.16</v>
      </c>
      <c r="F30" s="792"/>
      <c r="G30" s="792"/>
      <c r="H30" s="99">
        <f>SUM(H14:H29)</f>
        <v>129.24680000000001</v>
      </c>
      <c r="I30" s="94">
        <f>SUM(I14:I29)</f>
        <v>717123.8</v>
      </c>
      <c r="N30" s="838" t="s">
        <v>5</v>
      </c>
      <c r="O30" s="838"/>
      <c r="P30" s="839">
        <f>SUM(P14:P29)</f>
        <v>74.16</v>
      </c>
      <c r="Q30" s="839"/>
      <c r="R30" s="840"/>
      <c r="S30" s="840"/>
      <c r="T30" s="100">
        <f>SUM(T14:T29)</f>
        <v>74.16</v>
      </c>
      <c r="U30" s="524">
        <f>SUM(U14:U29)</f>
        <v>411475.58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129.24680000000001</v>
      </c>
      <c r="F46" s="34"/>
      <c r="G46" s="106"/>
      <c r="H46" s="107" t="s">
        <v>98</v>
      </c>
      <c r="I46" s="94">
        <f>SUM(I44,I30)</f>
        <v>717123.8</v>
      </c>
      <c r="N46" s="846" t="s">
        <v>44</v>
      </c>
      <c r="O46" s="846"/>
      <c r="P46" s="846"/>
      <c r="Q46" s="846"/>
      <c r="R46" s="35">
        <f>R44+T30</f>
        <v>74.16</v>
      </c>
      <c r="S46" s="840" t="s">
        <v>42</v>
      </c>
      <c r="T46" s="840"/>
      <c r="U46" s="108">
        <f>SUM(U44,U30)</f>
        <v>411475.58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541444.92999999993</v>
      </c>
      <c r="G51" s="109" t="s">
        <v>6</v>
      </c>
      <c r="H51" s="453">
        <v>5.5899999999999998E-2</v>
      </c>
      <c r="I51" s="101">
        <f>ROUND(F51*H51,2)</f>
        <v>30266.77</v>
      </c>
      <c r="N51" s="458"/>
      <c r="O51" s="459" t="s">
        <v>576</v>
      </c>
      <c r="P51" s="28"/>
      <c r="Q51" s="44" t="s">
        <v>461</v>
      </c>
      <c r="R51" s="460">
        <f>U30</f>
        <v>411475.58</v>
      </c>
      <c r="S51" s="461" t="s">
        <v>6</v>
      </c>
      <c r="T51" s="462">
        <v>5.5899999999999998E-2</v>
      </c>
      <c r="U51" s="454">
        <f>ROUND(R51*T51,2)</f>
        <v>23001.48</v>
      </c>
    </row>
    <row r="52" spans="1:22" x14ac:dyDescent="0.25">
      <c r="A52" s="26"/>
      <c r="B52" s="618" t="s">
        <v>580</v>
      </c>
      <c r="C52" s="26"/>
      <c r="D52" s="26"/>
      <c r="E52" s="43" t="s">
        <v>461</v>
      </c>
      <c r="F52" s="452">
        <v>541444.92999999993</v>
      </c>
      <c r="G52" s="109" t="s">
        <v>6</v>
      </c>
      <c r="H52" s="453">
        <v>1.0699999999999999E-2</v>
      </c>
      <c r="I52" s="101">
        <f>ROUND(F52*H52,2)</f>
        <v>5793.46</v>
      </c>
      <c r="N52" s="28"/>
      <c r="O52" s="619" t="s">
        <v>579</v>
      </c>
      <c r="P52" s="28"/>
      <c r="Q52" s="44" t="s">
        <v>461</v>
      </c>
      <c r="R52" s="460">
        <f>U30</f>
        <v>411475.58</v>
      </c>
      <c r="S52" s="461" t="s">
        <v>6</v>
      </c>
      <c r="T52" s="462">
        <v>1.0699999999999999E-2</v>
      </c>
      <c r="U52" s="463">
        <f>ROUND(R52*T52,2)</f>
        <v>4402.79</v>
      </c>
    </row>
    <row r="53" spans="1:22" x14ac:dyDescent="0.25">
      <c r="A53" s="26"/>
      <c r="B53" s="81" t="s">
        <v>462</v>
      </c>
      <c r="C53" s="26"/>
      <c r="D53" s="26"/>
      <c r="E53" s="43"/>
      <c r="F53" s="452"/>
      <c r="G53" s="109"/>
      <c r="H53" s="453"/>
      <c r="I53" s="97">
        <f>SUM(I51:I52)</f>
        <v>36060.230000000003</v>
      </c>
      <c r="N53" s="28"/>
      <c r="O53" s="435" t="s">
        <v>462</v>
      </c>
      <c r="P53" s="28"/>
      <c r="Q53" s="44"/>
      <c r="R53" s="460"/>
      <c r="S53" s="461"/>
      <c r="T53" s="462"/>
      <c r="U53" s="454">
        <f>SUM(U51:U52)</f>
        <v>27404.27</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2" si="10">IF(D$72=0,C57*2,C57+D57)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IF(D$66=0,C63*2,C63+D63)</f>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0.5</v>
      </c>
      <c r="D64" s="143">
        <v>0</v>
      </c>
      <c r="E64" s="116">
        <f>IF(D$66=0,C64*2,C64+D64)</f>
        <v>1</v>
      </c>
      <c r="F64" s="495" t="s">
        <v>14</v>
      </c>
      <c r="G64" s="494">
        <v>252</v>
      </c>
      <c r="H64" s="508">
        <f>'1461'!H64</f>
        <v>3168</v>
      </c>
      <c r="I64" s="101">
        <f t="shared" si="11"/>
        <v>3168</v>
      </c>
      <c r="N64" s="849"/>
      <c r="O64" s="849"/>
      <c r="P64" s="851"/>
      <c r="Q64" s="851"/>
      <c r="R64" s="40" t="s">
        <v>14</v>
      </c>
      <c r="S64" s="500">
        <v>252</v>
      </c>
      <c r="T64" s="511">
        <f t="shared" si="12"/>
        <v>3168</v>
      </c>
      <c r="U64" s="525">
        <f t="shared" si="13"/>
        <v>0</v>
      </c>
      <c r="V64" s="475"/>
    </row>
    <row r="65" spans="1:22" ht="16.5" thickBot="1" x14ac:dyDescent="0.3">
      <c r="A65" s="799"/>
      <c r="B65" s="799"/>
      <c r="C65" s="143">
        <v>26.15</v>
      </c>
      <c r="D65" s="143">
        <v>0</v>
      </c>
      <c r="E65" s="116">
        <f>IF(D$66=0,C65*2,C65+D65)</f>
        <v>52.3</v>
      </c>
      <c r="F65" s="495" t="s">
        <v>14</v>
      </c>
      <c r="G65" s="494">
        <v>253</v>
      </c>
      <c r="H65" s="508">
        <f>'1461'!H65</f>
        <v>6685</v>
      </c>
      <c r="I65" s="101">
        <f t="shared" si="11"/>
        <v>349625.5</v>
      </c>
      <c r="N65" s="849"/>
      <c r="O65" s="849"/>
      <c r="P65" s="857"/>
      <c r="Q65" s="857"/>
      <c r="R65" s="40" t="s">
        <v>14</v>
      </c>
      <c r="S65" s="500">
        <v>253</v>
      </c>
      <c r="T65" s="511">
        <f t="shared" si="12"/>
        <v>6685</v>
      </c>
      <c r="U65" s="526">
        <f t="shared" si="13"/>
        <v>0</v>
      </c>
      <c r="V65" s="475"/>
    </row>
    <row r="66" spans="1:22" ht="16.5" thickBot="1" x14ac:dyDescent="0.3">
      <c r="A66" s="491"/>
      <c r="C66" s="97">
        <f>SUM(C57:C65)</f>
        <v>26.65</v>
      </c>
      <c r="D66" s="97">
        <f>SUM(D57:D65)</f>
        <v>0</v>
      </c>
      <c r="E66" s="97">
        <f>SUM(E57:E65)</f>
        <v>53.3</v>
      </c>
      <c r="F66" s="800" t="s">
        <v>507</v>
      </c>
      <c r="G66" s="800"/>
      <c r="H66" s="800"/>
      <c r="I66" s="97">
        <f>SUM(I57:I65)</f>
        <v>352793.5</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74.16</v>
      </c>
      <c r="D69" s="775" t="s">
        <v>474</v>
      </c>
      <c r="E69" s="775"/>
      <c r="F69" s="775"/>
      <c r="G69" s="775"/>
      <c r="H69" s="299">
        <f>'1461'!H69</f>
        <v>210935.24</v>
      </c>
      <c r="I69" s="113"/>
      <c r="N69" s="853" t="s">
        <v>467</v>
      </c>
      <c r="O69" s="834"/>
      <c r="P69" s="41">
        <f>P30</f>
        <v>74.16</v>
      </c>
      <c r="Q69" s="854" t="s">
        <v>469</v>
      </c>
      <c r="R69" s="855"/>
      <c r="S69" s="855"/>
      <c r="T69" s="856">
        <f>H69</f>
        <v>210935.24</v>
      </c>
      <c r="U69" s="856"/>
    </row>
    <row r="70" spans="1:22" x14ac:dyDescent="0.25">
      <c r="B70" s="69"/>
      <c r="G70" s="42" t="s">
        <v>12</v>
      </c>
      <c r="H70" s="114">
        <f>ROUND(C69/H69,6)</f>
        <v>3.5199999999999999E-4</v>
      </c>
      <c r="I70" s="115"/>
      <c r="N70" s="834"/>
      <c r="O70" s="834"/>
      <c r="P70" s="834"/>
      <c r="Q70" s="834"/>
      <c r="R70" s="834"/>
      <c r="S70" s="834"/>
      <c r="T70" s="852">
        <f>ROUND(P69/T69,6)</f>
        <v>3.5199999999999999E-4</v>
      </c>
      <c r="U70" s="852"/>
    </row>
    <row r="71" spans="1:22" x14ac:dyDescent="0.25">
      <c r="A71" s="493" t="s">
        <v>510</v>
      </c>
      <c r="N71" s="504" t="s">
        <v>518</v>
      </c>
      <c r="O71" s="51"/>
      <c r="P71" s="51"/>
      <c r="Q71" s="51"/>
      <c r="R71" s="51"/>
      <c r="S71" s="51"/>
      <c r="T71" s="51"/>
      <c r="U71" s="51"/>
    </row>
    <row r="72" spans="1:22" x14ac:dyDescent="0.25">
      <c r="A72" s="794" t="s">
        <v>464</v>
      </c>
      <c r="B72" s="788"/>
      <c r="C72" s="112">
        <f>H30</f>
        <v>129.24680000000001</v>
      </c>
      <c r="D72" s="775" t="s">
        <v>475</v>
      </c>
      <c r="E72" s="775"/>
      <c r="F72" s="775"/>
      <c r="G72" s="775"/>
      <c r="H72" s="300">
        <f>'1461'!H72</f>
        <v>237601.62</v>
      </c>
      <c r="I72" s="116"/>
      <c r="N72" s="853" t="s">
        <v>468</v>
      </c>
      <c r="O72" s="834"/>
      <c r="P72" s="41">
        <f>T30</f>
        <v>74.16</v>
      </c>
      <c r="Q72" s="854" t="s">
        <v>470</v>
      </c>
      <c r="R72" s="855"/>
      <c r="S72" s="855"/>
      <c r="T72" s="856">
        <f>H72</f>
        <v>237601.62</v>
      </c>
      <c r="U72" s="856"/>
    </row>
    <row r="73" spans="1:22" x14ac:dyDescent="0.25">
      <c r="G73" s="42" t="s">
        <v>12</v>
      </c>
      <c r="H73" s="114">
        <f>ROUND(C72/H72,6)</f>
        <v>5.44E-4</v>
      </c>
      <c r="I73" s="114"/>
      <c r="N73" s="834"/>
      <c r="O73" s="834"/>
      <c r="P73" s="834"/>
      <c r="Q73" s="834"/>
      <c r="R73" s="834"/>
      <c r="S73" s="834"/>
      <c r="T73" s="852">
        <f>ROUND(P72/T72,6)</f>
        <v>3.1199999999999999E-4</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74.16</v>
      </c>
      <c r="D75" s="767" t="s">
        <v>476</v>
      </c>
      <c r="E75" s="767"/>
      <c r="F75" s="767"/>
      <c r="G75" s="767"/>
      <c r="H75" s="299">
        <f>'1461'!H75</f>
        <v>186826.74</v>
      </c>
      <c r="I75" s="113"/>
      <c r="N75" s="853" t="s">
        <v>466</v>
      </c>
      <c r="O75" s="834"/>
      <c r="P75" s="41">
        <f>P30</f>
        <v>74.16</v>
      </c>
      <c r="Q75" s="861" t="s">
        <v>471</v>
      </c>
      <c r="R75" s="862"/>
      <c r="S75" s="862"/>
      <c r="T75" s="856">
        <f>H75</f>
        <v>186826.74</v>
      </c>
      <c r="U75" s="856"/>
    </row>
    <row r="76" spans="1:22" x14ac:dyDescent="0.25">
      <c r="B76" s="69"/>
      <c r="G76" s="42" t="s">
        <v>12</v>
      </c>
      <c r="H76" s="114">
        <f>ROUND(C75/H75,6)</f>
        <v>3.97E-4</v>
      </c>
      <c r="I76" s="115"/>
      <c r="N76" s="834"/>
      <c r="O76" s="834"/>
      <c r="P76" s="834"/>
      <c r="Q76" s="834"/>
      <c r="R76" s="834"/>
      <c r="S76" s="834"/>
      <c r="T76" s="852">
        <f>ROUND(P75/T75,6)</f>
        <v>3.97E-4</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74.16</v>
      </c>
      <c r="D78" s="795" t="s">
        <v>477</v>
      </c>
      <c r="E78" s="795"/>
      <c r="F78" s="795"/>
      <c r="G78" s="795"/>
      <c r="H78" s="299">
        <f>'1461'!H78</f>
        <v>210630.63</v>
      </c>
      <c r="I78" s="113"/>
      <c r="N78" s="853" t="s">
        <v>466</v>
      </c>
      <c r="O78" s="834"/>
      <c r="P78" s="41">
        <f>P30</f>
        <v>74.16</v>
      </c>
      <c r="Q78" s="859" t="s">
        <v>472</v>
      </c>
      <c r="R78" s="860"/>
      <c r="S78" s="860"/>
      <c r="T78" s="856">
        <f>H78</f>
        <v>210630.63</v>
      </c>
      <c r="U78" s="856"/>
    </row>
    <row r="79" spans="1:22" x14ac:dyDescent="0.25">
      <c r="B79" s="69"/>
      <c r="G79" s="42" t="s">
        <v>12</v>
      </c>
      <c r="H79" s="114">
        <f>ROUND(C78/H78,6)</f>
        <v>3.5199999999999999E-4</v>
      </c>
      <c r="I79" s="115"/>
      <c r="N79" s="834"/>
      <c r="O79" s="834"/>
      <c r="P79" s="834"/>
      <c r="Q79" s="834"/>
      <c r="R79" s="834"/>
      <c r="S79" s="834"/>
      <c r="T79" s="852">
        <f>ROUND(P78/T78,6)</f>
        <v>3.5199999999999999E-4</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74.16</v>
      </c>
      <c r="D81" s="767" t="s">
        <v>478</v>
      </c>
      <c r="E81" s="767"/>
      <c r="F81" s="767"/>
      <c r="G81" s="767"/>
      <c r="H81" s="299">
        <f>'1461'!H81</f>
        <v>186522.13</v>
      </c>
      <c r="I81" s="113"/>
      <c r="N81" s="853" t="s">
        <v>479</v>
      </c>
      <c r="O81" s="834"/>
      <c r="P81" s="41">
        <f>P30</f>
        <v>74.16</v>
      </c>
      <c r="Q81" s="861" t="s">
        <v>480</v>
      </c>
      <c r="R81" s="862"/>
      <c r="S81" s="862"/>
      <c r="T81" s="856">
        <f>H81</f>
        <v>186522.13</v>
      </c>
      <c r="U81" s="856"/>
    </row>
    <row r="82" spans="1:21" x14ac:dyDescent="0.25">
      <c r="B82" s="69"/>
      <c r="G82" s="42" t="s">
        <v>12</v>
      </c>
      <c r="H82" s="114">
        <f>ROUND(C81/H81,6)</f>
        <v>3.9800000000000002E-4</v>
      </c>
      <c r="I82" s="115"/>
      <c r="N82" s="834"/>
      <c r="O82" s="834"/>
      <c r="P82" s="834"/>
      <c r="Q82" s="834"/>
      <c r="R82" s="834"/>
      <c r="S82" s="834"/>
      <c r="T82" s="852">
        <f>ROUND(P81/T81,6)</f>
        <v>3.9800000000000002E-4</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3.5199999999999999E-4</v>
      </c>
      <c r="I85" s="101">
        <f>ROUND(F85*H85,2)</f>
        <v>16298.2</v>
      </c>
      <c r="N85" s="504" t="s">
        <v>514</v>
      </c>
      <c r="O85" s="51"/>
      <c r="P85" s="51"/>
      <c r="Q85" s="44"/>
      <c r="R85" s="470">
        <f>F85</f>
        <v>46301717</v>
      </c>
      <c r="S85" s="38" t="s">
        <v>6</v>
      </c>
      <c r="T85" s="472">
        <f>T79</f>
        <v>3.5199999999999999E-4</v>
      </c>
      <c r="U85" s="524">
        <f>ROUND(R85*T85,2)</f>
        <v>16298.2</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3.5199999999999999E-4</v>
      </c>
      <c r="I88" s="101">
        <f>ROUND(F88*H88,2)</f>
        <v>0</v>
      </c>
      <c r="N88" s="863" t="s">
        <v>99</v>
      </c>
      <c r="O88" s="834"/>
      <c r="P88" s="834"/>
      <c r="Q88" s="44"/>
      <c r="R88" s="470">
        <f>F88</f>
        <v>0</v>
      </c>
      <c r="S88" s="38" t="s">
        <v>6</v>
      </c>
      <c r="T88" s="472">
        <f>T70</f>
        <v>3.5199999999999999E-4</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3.9800000000000002E-4</v>
      </c>
      <c r="I90" s="101">
        <f>ROUND(F90*H90,2)</f>
        <v>7612.1</v>
      </c>
      <c r="N90" s="504" t="s">
        <v>515</v>
      </c>
      <c r="O90" s="51"/>
      <c r="P90" s="51"/>
      <c r="Q90" s="44"/>
      <c r="R90" s="470">
        <f>F90</f>
        <v>19125890</v>
      </c>
      <c r="S90" s="38" t="s">
        <v>6</v>
      </c>
      <c r="T90" s="472">
        <f>T82</f>
        <v>3.9800000000000002E-4</v>
      </c>
      <c r="U90" s="524">
        <f>ROUND(R90*T90,2)</f>
        <v>7612.1</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3.97E-4</v>
      </c>
      <c r="I92" s="101">
        <f t="shared" ref="I92:I96" si="14">ROUND(F92*H92,2)</f>
        <v>4570.01</v>
      </c>
      <c r="N92" s="504" t="s">
        <v>516</v>
      </c>
      <c r="O92" s="51"/>
      <c r="P92" s="51"/>
      <c r="Q92" s="44"/>
      <c r="R92" s="470">
        <f t="shared" ref="R92:R96" si="15">F92</f>
        <v>11511363</v>
      </c>
      <c r="S92" s="38" t="s">
        <v>6</v>
      </c>
      <c r="T92" s="472">
        <f>T76</f>
        <v>3.97E-4</v>
      </c>
      <c r="U92" s="524">
        <f>ROUND(R92*T92,2)</f>
        <v>4570.01</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5.44E-4</v>
      </c>
      <c r="I94" s="101">
        <f t="shared" si="14"/>
        <v>139131.71</v>
      </c>
      <c r="N94" s="834" t="s">
        <v>482</v>
      </c>
      <c r="O94" s="834"/>
      <c r="P94" s="834"/>
      <c r="Q94" s="44"/>
      <c r="R94" s="470">
        <f t="shared" si="15"/>
        <v>255756816</v>
      </c>
      <c r="S94" s="38" t="s">
        <v>6</v>
      </c>
      <c r="T94" s="472">
        <f>T73</f>
        <v>3.1199999999999999E-4</v>
      </c>
      <c r="U94" s="524">
        <f>ROUND(R94*T94,2)</f>
        <v>79796.13</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5.44E-4</v>
      </c>
      <c r="I96" s="101">
        <f t="shared" si="14"/>
        <v>-8401.57</v>
      </c>
      <c r="N96" s="853" t="s">
        <v>483</v>
      </c>
      <c r="O96" s="834"/>
      <c r="P96" s="834"/>
      <c r="Q96" s="44"/>
      <c r="R96" s="470">
        <f t="shared" si="15"/>
        <v>-15444055</v>
      </c>
      <c r="S96" s="38" t="s">
        <v>6</v>
      </c>
      <c r="T96" s="472">
        <f>T73</f>
        <v>3.1199999999999999E-4</v>
      </c>
      <c r="U96" s="524">
        <f>ROUND(R96*T96,2)</f>
        <v>-4818.55</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3.5199999999999999E-4</v>
      </c>
      <c r="I98" s="101">
        <f t="shared" ref="I98" si="16">ROUND(F98*H98,2)</f>
        <v>1978.74</v>
      </c>
      <c r="N98" s="587" t="s">
        <v>556</v>
      </c>
      <c r="O98" s="587"/>
      <c r="P98" s="587"/>
      <c r="Q98" s="44"/>
      <c r="R98" s="590">
        <f>F98</f>
        <v>5621424</v>
      </c>
      <c r="S98" s="588" t="s">
        <v>6</v>
      </c>
      <c r="T98" s="472">
        <f>T70</f>
        <v>3.5199999999999999E-4</v>
      </c>
      <c r="U98" s="524">
        <f>ROUND(R98*T98,2)</f>
        <v>1978.74</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81"/>
      <c r="B100" s="69"/>
      <c r="C100" s="69"/>
      <c r="D100" s="69"/>
      <c r="E100" s="43"/>
      <c r="F100" s="117"/>
      <c r="G100" s="37"/>
      <c r="H100" s="473"/>
      <c r="I100" s="101"/>
      <c r="N100" s="435"/>
      <c r="O100" s="45"/>
      <c r="P100" s="45"/>
      <c r="Q100" s="44"/>
      <c r="R100" s="471"/>
      <c r="S100" s="3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129.24680000000001</v>
      </c>
      <c r="D106" s="806"/>
      <c r="E106" s="46">
        <f>H8</f>
        <v>1.0407999999999999</v>
      </c>
      <c r="F106" s="302">
        <f>'1461'!F106</f>
        <v>910.12</v>
      </c>
      <c r="G106" s="39" t="s">
        <v>12</v>
      </c>
      <c r="H106" s="94">
        <f>ROUND(C106*E106*F106,2)</f>
        <v>122429.41</v>
      </c>
      <c r="N106" s="53" t="s">
        <v>14</v>
      </c>
      <c r="O106" s="54">
        <f>T18+T19+T22+T25+T28+T29</f>
        <v>74.16</v>
      </c>
      <c r="P106" s="864">
        <f>T8</f>
        <v>1.0407999999999999</v>
      </c>
      <c r="Q106" s="864"/>
      <c r="R106" s="48">
        <f>F106</f>
        <v>910.12</v>
      </c>
      <c r="S106" s="40" t="s">
        <v>12</v>
      </c>
      <c r="T106" s="530">
        <f>ROUND(O106*P106*R106,2)</f>
        <v>70248.27</v>
      </c>
      <c r="U106" s="51"/>
    </row>
    <row r="107" spans="1:21" ht="16.5" thickBot="1" x14ac:dyDescent="0.3">
      <c r="A107" s="55"/>
      <c r="B107" s="122" t="s">
        <v>102</v>
      </c>
      <c r="C107" s="796">
        <f>SUM(C104:C106)</f>
        <v>129.24680000000001</v>
      </c>
      <c r="D107" s="796"/>
      <c r="E107" s="123"/>
      <c r="F107" s="123"/>
      <c r="G107" s="123"/>
      <c r="H107" s="124" t="s">
        <v>100</v>
      </c>
      <c r="I107" s="101">
        <f>IF(A1=75,0,H106+H105+H104)</f>
        <v>122429.41</v>
      </c>
      <c r="N107" s="56" t="s">
        <v>89</v>
      </c>
      <c r="O107" s="57">
        <f>SUM(O104:O106)</f>
        <v>74.16</v>
      </c>
      <c r="P107" s="870" t="s">
        <v>16</v>
      </c>
      <c r="Q107" s="871"/>
      <c r="R107" s="871"/>
      <c r="S107" s="871"/>
      <c r="T107" s="871"/>
      <c r="U107" s="524">
        <f>IF(N1=75,0,T106+T105+T104)</f>
        <v>70248.27</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8"/>
      <c r="D110" s="8"/>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36</v>
      </c>
      <c r="D113" s="143">
        <v>0</v>
      </c>
      <c r="E113" s="116">
        <f>C113</f>
        <v>36</v>
      </c>
      <c r="F113" s="126" t="s">
        <v>30</v>
      </c>
      <c r="G113" s="303">
        <f>'1461'!G113</f>
        <v>607</v>
      </c>
      <c r="I113" s="101">
        <f>ROUND(G113*E113,2)</f>
        <v>21852</v>
      </c>
      <c r="N113" s="868" t="s">
        <v>52</v>
      </c>
      <c r="O113" s="868"/>
      <c r="P113" s="869">
        <f>IF(H133=1,E113,0)</f>
        <v>36</v>
      </c>
      <c r="Q113" s="869"/>
      <c r="R113" s="869"/>
      <c r="S113" s="83" t="s">
        <v>30</v>
      </c>
      <c r="T113" s="58">
        <f>G113</f>
        <v>607</v>
      </c>
      <c r="U113" s="524">
        <f>ROUND(T113*P113,2)</f>
        <v>21852</v>
      </c>
    </row>
    <row r="114" spans="1:21" x14ac:dyDescent="0.25">
      <c r="A114" s="767" t="s">
        <v>444</v>
      </c>
      <c r="B114" s="768"/>
      <c r="C114" s="143">
        <v>0</v>
      </c>
      <c r="D114" s="143">
        <v>0</v>
      </c>
      <c r="E114" s="116">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1375387.9</v>
      </c>
      <c r="N128" s="504"/>
      <c r="O128" s="503"/>
      <c r="P128" s="503"/>
      <c r="Q128" s="305"/>
      <c r="R128" s="305"/>
      <c r="S128" s="305"/>
      <c r="T128" s="305"/>
      <c r="U128" s="531">
        <f>SUM(U30,U85,U88,U90,U92,U94,U96,U107,U113,U114,U124,U126)</f>
        <v>607033.74</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1339327.67</v>
      </c>
      <c r="N130" s="834" t="s">
        <v>494</v>
      </c>
      <c r="O130" s="834"/>
      <c r="P130" s="834"/>
      <c r="Q130" s="834"/>
      <c r="R130" s="834"/>
      <c r="S130" s="834"/>
      <c r="T130" s="834"/>
      <c r="U130" s="132">
        <f>U128-U53</f>
        <v>579629.47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f>IF(E30=0,"",IF((E15+E17+SUM(E19:E25))/E30&gt;0.75,1,""))</f>
        <v>1</v>
      </c>
      <c r="I133" s="116">
        <f>U130</f>
        <v>579629.47</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579629.47</v>
      </c>
      <c r="I135" s="94">
        <f>ROUND(IF(E30=0,0,IF(E30&gt;250,-(((250/E30)*H135)*IF(G135="H",0.02,0.05)),IF(G135="H",-0.02*H135,-0.05*H135))),2)</f>
        <v>-28981.47</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1346406.43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Payments'!Q74</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1346406.43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112200.54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434</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435</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436</v>
      </c>
      <c r="B155" s="360"/>
      <c r="C155" s="360"/>
      <c r="D155" s="360"/>
      <c r="E155" s="360"/>
      <c r="F155" s="360"/>
      <c r="G155" s="360"/>
      <c r="H155" s="360"/>
      <c r="I155" s="360"/>
      <c r="N155" s="879"/>
      <c r="O155" s="879"/>
      <c r="P155" s="879"/>
      <c r="Q155" s="879"/>
      <c r="R155" s="879"/>
      <c r="S155" s="879"/>
      <c r="T155" s="879"/>
      <c r="U155" s="879"/>
    </row>
    <row r="156" spans="1:21" s="76" customFormat="1" x14ac:dyDescent="0.2">
      <c r="A156" s="358" t="s">
        <v>437</v>
      </c>
      <c r="B156" s="360"/>
      <c r="C156" s="360"/>
      <c r="D156" s="360"/>
      <c r="E156" s="360"/>
      <c r="F156" s="360"/>
      <c r="G156" s="360"/>
      <c r="H156" s="360"/>
      <c r="I156" s="360"/>
      <c r="N156" s="73"/>
      <c r="O156" s="73"/>
      <c r="P156" s="73"/>
      <c r="Q156" s="73"/>
      <c r="R156" s="73"/>
      <c r="S156" s="73"/>
      <c r="T156" s="73"/>
      <c r="U156" s="73"/>
    </row>
    <row r="157" spans="1:21" s="76" customFormat="1" x14ac:dyDescent="0.2">
      <c r="A157" s="358" t="s">
        <v>438</v>
      </c>
      <c r="B157" s="360"/>
      <c r="C157" s="360"/>
      <c r="D157" s="360"/>
      <c r="E157" s="360"/>
      <c r="F157" s="360"/>
      <c r="G157" s="360"/>
      <c r="H157" s="360"/>
      <c r="I157" s="360"/>
      <c r="N157" s="78"/>
      <c r="O157" s="79"/>
      <c r="P157" s="79"/>
      <c r="Q157" s="79"/>
      <c r="R157" s="79"/>
      <c r="S157" s="79"/>
      <c r="T157" s="79"/>
      <c r="U157" s="79"/>
    </row>
    <row r="158" spans="1:21" s="76" customFormat="1" x14ac:dyDescent="0.2">
      <c r="A158" s="358" t="s">
        <v>439</v>
      </c>
      <c r="B158" s="360"/>
      <c r="C158" s="360"/>
      <c r="D158" s="360"/>
      <c r="E158" s="360"/>
      <c r="F158" s="360"/>
      <c r="G158" s="360"/>
      <c r="H158" s="360"/>
      <c r="I158" s="360"/>
      <c r="N158" s="78"/>
    </row>
    <row r="159" spans="1:21" s="76" customFormat="1" x14ac:dyDescent="0.2">
      <c r="A159" s="358" t="s">
        <v>441</v>
      </c>
      <c r="B159" s="360"/>
      <c r="C159" s="360"/>
      <c r="D159" s="360"/>
      <c r="E159" s="360"/>
      <c r="F159" s="360"/>
      <c r="G159" s="360"/>
      <c r="H159" s="360"/>
      <c r="I159" s="360"/>
      <c r="N159" s="78"/>
    </row>
    <row r="160" spans="1:21" s="76" customFormat="1" x14ac:dyDescent="0.2">
      <c r="A160" s="364" t="s">
        <v>440</v>
      </c>
      <c r="B160" s="360"/>
      <c r="C160" s="360"/>
      <c r="D160" s="360"/>
      <c r="E160" s="360"/>
      <c r="F160" s="360"/>
      <c r="G160" s="360"/>
      <c r="H160" s="360"/>
      <c r="I160" s="360"/>
      <c r="N160" s="78"/>
    </row>
    <row r="161" spans="1:14" s="76" customFormat="1" x14ac:dyDescent="0.2">
      <c r="A161" s="358" t="s">
        <v>442</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445</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447</v>
      </c>
      <c r="B165" s="360"/>
      <c r="C165" s="360"/>
      <c r="D165" s="360"/>
      <c r="E165" s="360"/>
      <c r="F165" s="360"/>
      <c r="G165" s="360"/>
      <c r="H165" s="360"/>
      <c r="I165" s="360"/>
      <c r="N165" s="78"/>
    </row>
    <row r="166" spans="1:14" s="76" customFormat="1" ht="15.75" customHeight="1" x14ac:dyDescent="0.2">
      <c r="A166" s="364" t="s">
        <v>446</v>
      </c>
      <c r="B166" s="360"/>
      <c r="C166" s="360"/>
      <c r="D166" s="360"/>
      <c r="E166" s="360"/>
      <c r="F166" s="360"/>
      <c r="G166" s="360"/>
      <c r="H166" s="360"/>
      <c r="I166" s="360"/>
      <c r="N166" s="78"/>
    </row>
    <row r="167" spans="1:14" s="76" customFormat="1" ht="15.75" customHeight="1" x14ac:dyDescent="0.2">
      <c r="A167" s="358" t="s">
        <v>448</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450</v>
      </c>
      <c r="B169" s="360"/>
      <c r="C169" s="360"/>
      <c r="D169" s="360"/>
      <c r="E169" s="360"/>
      <c r="F169" s="360"/>
      <c r="G169" s="360"/>
      <c r="H169" s="360"/>
      <c r="I169" s="360"/>
      <c r="N169" s="78"/>
    </row>
    <row r="170" spans="1:14" s="76" customFormat="1" ht="15.75" customHeight="1" x14ac:dyDescent="0.2">
      <c r="A170" s="364" t="s">
        <v>449</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451</v>
      </c>
      <c r="B175" s="370"/>
      <c r="C175" s="370"/>
      <c r="D175" s="370"/>
      <c r="E175" s="370"/>
      <c r="F175" s="370"/>
      <c r="G175" s="370"/>
      <c r="H175" s="370"/>
      <c r="I175" s="370"/>
      <c r="J175" s="3"/>
      <c r="K175" s="3"/>
      <c r="L175" s="3"/>
      <c r="M175" s="3"/>
      <c r="N175" s="78"/>
    </row>
    <row r="176" spans="1:14" s="76" customFormat="1" ht="15.75" customHeight="1" x14ac:dyDescent="0.2">
      <c r="A176" s="376" t="s">
        <v>452</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CC"/>
    <pageSetUpPr fitToPage="1"/>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bestFit="1"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593</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IF(D$30=0,C15*2,C15+D15)</f>
        <v>0</v>
      </c>
      <c r="F15" s="833">
        <f>'1461'!F15:G15</f>
        <v>1.1180000000000001</v>
      </c>
      <c r="G15" s="833"/>
      <c r="H15" s="80">
        <f t="shared" ref="H15:H29" si="1">ROUND(E15*F15,4)</f>
        <v>0</v>
      </c>
      <c r="I15" s="101">
        <f t="shared" ref="I15:I29" si="2">ROUND(ROUND(ROUND(H15*$C$8,4)*($H$8),2)*(MAX($H$9,1)),2)</f>
        <v>0</v>
      </c>
      <c r="J15" s="65" t="str">
        <f>IF(ROUND(E15,2)=ROUND(SUM(E57:E59),2)," ","CHECK PK-3 LINES BELOW")</f>
        <v xml:space="preserve"> </v>
      </c>
      <c r="N15" s="834" t="s">
        <v>21</v>
      </c>
      <c r="O15" s="834"/>
      <c r="P15" s="831">
        <f t="shared" si="0"/>
        <v>0</v>
      </c>
      <c r="Q15" s="831"/>
      <c r="R15" s="835">
        <v>1</v>
      </c>
      <c r="S15" s="835"/>
      <c r="T15" s="95">
        <f t="shared" ref="T15:T29" si="3">ROUND(P15*R15,4)</f>
        <v>0</v>
      </c>
      <c r="U15" s="524">
        <f t="shared" ref="U15:U29" si="4">ROUND(ROUND(ROUND(T15*$C$8,4)*($H$8),2)*(MAX($H$9,1)),2)</f>
        <v>0</v>
      </c>
    </row>
    <row r="16" spans="1:21" x14ac:dyDescent="0.25">
      <c r="A16" s="788" t="s">
        <v>22</v>
      </c>
      <c r="B16" s="788"/>
      <c r="C16" s="143">
        <v>0</v>
      </c>
      <c r="D16" s="143">
        <v>0</v>
      </c>
      <c r="E16" s="116">
        <f t="shared" ref="E16:E29" si="5">IF(D$30=0,C16*2,C16+D16)</f>
        <v>0</v>
      </c>
      <c r="F16" s="833">
        <f>'1461'!F16:G16</f>
        <v>1</v>
      </c>
      <c r="G16" s="833"/>
      <c r="H16" s="80">
        <f t="shared" si="1"/>
        <v>0</v>
      </c>
      <c r="I16" s="101">
        <f t="shared" si="2"/>
        <v>0</v>
      </c>
      <c r="N16" s="834" t="s">
        <v>22</v>
      </c>
      <c r="O16" s="834"/>
      <c r="P16" s="831">
        <f t="shared" si="0"/>
        <v>0</v>
      </c>
      <c r="Q16" s="831"/>
      <c r="R16" s="835">
        <v>1</v>
      </c>
      <c r="S16" s="835"/>
      <c r="T16" s="95">
        <f t="shared" si="3"/>
        <v>0</v>
      </c>
      <c r="U16" s="524">
        <f t="shared" si="4"/>
        <v>0</v>
      </c>
    </row>
    <row r="17" spans="1:21" x14ac:dyDescent="0.25">
      <c r="A17" s="788" t="s">
        <v>23</v>
      </c>
      <c r="B17" s="788"/>
      <c r="C17" s="143">
        <v>0</v>
      </c>
      <c r="D17" s="143">
        <v>0</v>
      </c>
      <c r="E17" s="116">
        <f t="shared" si="5"/>
        <v>0</v>
      </c>
      <c r="F17" s="833">
        <f>'1461'!F17:G17</f>
        <v>1</v>
      </c>
      <c r="G17" s="833"/>
      <c r="H17" s="80">
        <f t="shared" si="1"/>
        <v>0</v>
      </c>
      <c r="I17" s="101">
        <f t="shared" si="2"/>
        <v>0</v>
      </c>
      <c r="J17" s="65" t="str">
        <f>IF(ROUND(E17,2)=ROUND(SUM(E60:E62),2)," ","CHECK 4-8 LINES BELOW")</f>
        <v xml:space="preserve"> </v>
      </c>
      <c r="N17" s="834" t="s">
        <v>23</v>
      </c>
      <c r="O17" s="834"/>
      <c r="P17" s="831">
        <f t="shared" si="0"/>
        <v>0</v>
      </c>
      <c r="Q17" s="831"/>
      <c r="R17" s="835">
        <v>1</v>
      </c>
      <c r="S17" s="835"/>
      <c r="T17" s="95">
        <f t="shared" si="3"/>
        <v>0</v>
      </c>
      <c r="U17" s="524">
        <f t="shared" si="4"/>
        <v>0</v>
      </c>
    </row>
    <row r="18" spans="1:21" x14ac:dyDescent="0.25">
      <c r="A18" s="788" t="s">
        <v>24</v>
      </c>
      <c r="B18" s="788"/>
      <c r="C18" s="143">
        <v>0</v>
      </c>
      <c r="D18" s="143">
        <v>0</v>
      </c>
      <c r="E18" s="116">
        <f t="shared" si="5"/>
        <v>0</v>
      </c>
      <c r="F18" s="833">
        <f>'1461'!F18:G18</f>
        <v>0.97799999999999998</v>
      </c>
      <c r="G18" s="833"/>
      <c r="H18" s="80">
        <f t="shared" si="1"/>
        <v>0</v>
      </c>
      <c r="I18" s="101">
        <f t="shared" si="2"/>
        <v>0</v>
      </c>
      <c r="N18" s="834" t="s">
        <v>24</v>
      </c>
      <c r="O18" s="834"/>
      <c r="P18" s="831">
        <f t="shared" si="0"/>
        <v>0</v>
      </c>
      <c r="Q18" s="831"/>
      <c r="R18" s="835">
        <v>1</v>
      </c>
      <c r="S18" s="835"/>
      <c r="T18" s="95">
        <f t="shared" si="3"/>
        <v>0</v>
      </c>
      <c r="U18" s="524">
        <f t="shared" si="4"/>
        <v>0</v>
      </c>
    </row>
    <row r="19" spans="1:21" x14ac:dyDescent="0.25">
      <c r="A19" s="788" t="s">
        <v>25</v>
      </c>
      <c r="B19" s="788"/>
      <c r="C19" s="143">
        <v>9.5</v>
      </c>
      <c r="D19" s="143">
        <v>0</v>
      </c>
      <c r="E19" s="116">
        <f t="shared" si="5"/>
        <v>19</v>
      </c>
      <c r="F19" s="833">
        <f>'1461'!F19:G19</f>
        <v>0.97799999999999998</v>
      </c>
      <c r="G19" s="833"/>
      <c r="H19" s="80">
        <f t="shared" si="1"/>
        <v>18.582000000000001</v>
      </c>
      <c r="I19" s="101">
        <f t="shared" si="2"/>
        <v>103101.93</v>
      </c>
      <c r="J19" s="65" t="str">
        <f>IF(ROUND(E19,2)=ROUND(SUM(E63:E65),2)," ","CHECK 4-8 LINES BELOW")</f>
        <v xml:space="preserve"> </v>
      </c>
      <c r="N19" s="834" t="s">
        <v>25</v>
      </c>
      <c r="O19" s="834"/>
      <c r="P19" s="831">
        <f t="shared" si="0"/>
        <v>19</v>
      </c>
      <c r="Q19" s="831"/>
      <c r="R19" s="835">
        <v>1</v>
      </c>
      <c r="S19" s="835"/>
      <c r="T19" s="95">
        <f t="shared" si="3"/>
        <v>19</v>
      </c>
      <c r="U19" s="523">
        <f t="shared" si="4"/>
        <v>105421.2</v>
      </c>
    </row>
    <row r="20" spans="1:21" x14ac:dyDescent="0.25">
      <c r="A20" s="788" t="s">
        <v>79</v>
      </c>
      <c r="B20" s="788"/>
      <c r="C20" s="143">
        <v>0.5</v>
      </c>
      <c r="D20" s="143">
        <v>0</v>
      </c>
      <c r="E20" s="116">
        <f t="shared" si="5"/>
        <v>1</v>
      </c>
      <c r="F20" s="833">
        <f>'1461'!F20:G20</f>
        <v>3.6970000000000001</v>
      </c>
      <c r="G20" s="833"/>
      <c r="H20" s="80">
        <f t="shared" si="1"/>
        <v>3.6970000000000001</v>
      </c>
      <c r="I20" s="101">
        <f t="shared" si="2"/>
        <v>20512.75</v>
      </c>
      <c r="N20" s="834" t="s">
        <v>79</v>
      </c>
      <c r="O20" s="834"/>
      <c r="P20" s="831">
        <f t="shared" si="0"/>
        <v>1</v>
      </c>
      <c r="Q20" s="831"/>
      <c r="R20" s="835">
        <v>1</v>
      </c>
      <c r="S20" s="835"/>
      <c r="T20" s="95">
        <f t="shared" si="3"/>
        <v>1</v>
      </c>
      <c r="U20" s="524">
        <f t="shared" si="4"/>
        <v>5548.48</v>
      </c>
    </row>
    <row r="21" spans="1:21" x14ac:dyDescent="0.25">
      <c r="A21" s="788" t="s">
        <v>80</v>
      </c>
      <c r="B21" s="788"/>
      <c r="C21" s="143">
        <v>1</v>
      </c>
      <c r="D21" s="143">
        <v>0</v>
      </c>
      <c r="E21" s="116">
        <f t="shared" si="5"/>
        <v>2</v>
      </c>
      <c r="F21" s="833">
        <f>'1461'!F21:G21</f>
        <v>3.6970000000000001</v>
      </c>
      <c r="G21" s="833"/>
      <c r="H21" s="80">
        <f t="shared" si="1"/>
        <v>7.3940000000000001</v>
      </c>
      <c r="I21" s="101">
        <f t="shared" si="2"/>
        <v>41025.49</v>
      </c>
      <c r="N21" s="834" t="s">
        <v>80</v>
      </c>
      <c r="O21" s="834"/>
      <c r="P21" s="831">
        <f t="shared" si="0"/>
        <v>2</v>
      </c>
      <c r="Q21" s="831"/>
      <c r="R21" s="835">
        <v>1</v>
      </c>
      <c r="S21" s="835"/>
      <c r="T21" s="95">
        <f t="shared" si="3"/>
        <v>2</v>
      </c>
      <c r="U21" s="524">
        <f t="shared" si="4"/>
        <v>11096.97</v>
      </c>
    </row>
    <row r="22" spans="1:21" x14ac:dyDescent="0.25">
      <c r="A22" s="788" t="s">
        <v>81</v>
      </c>
      <c r="B22" s="788"/>
      <c r="C22" s="143">
        <v>1</v>
      </c>
      <c r="D22" s="143">
        <v>0</v>
      </c>
      <c r="E22" s="116">
        <f t="shared" si="5"/>
        <v>2</v>
      </c>
      <c r="F22" s="833">
        <f>'1461'!F22:G22</f>
        <v>3.6970000000000001</v>
      </c>
      <c r="G22" s="833"/>
      <c r="H22" s="80">
        <f t="shared" si="1"/>
        <v>7.3940000000000001</v>
      </c>
      <c r="I22" s="101">
        <f t="shared" si="2"/>
        <v>41025.49</v>
      </c>
      <c r="N22" s="834" t="s">
        <v>81</v>
      </c>
      <c r="O22" s="834"/>
      <c r="P22" s="831">
        <f t="shared" si="0"/>
        <v>2</v>
      </c>
      <c r="Q22" s="831"/>
      <c r="R22" s="835">
        <v>1</v>
      </c>
      <c r="S22" s="835"/>
      <c r="T22" s="95">
        <f t="shared" si="3"/>
        <v>2</v>
      </c>
      <c r="U22" s="524">
        <f t="shared" si="4"/>
        <v>11096.97</v>
      </c>
    </row>
    <row r="23" spans="1:21" x14ac:dyDescent="0.25">
      <c r="A23" s="788" t="s">
        <v>82</v>
      </c>
      <c r="B23" s="788"/>
      <c r="C23" s="143">
        <v>4</v>
      </c>
      <c r="D23" s="143">
        <v>0</v>
      </c>
      <c r="E23" s="116">
        <f t="shared" si="5"/>
        <v>8</v>
      </c>
      <c r="F23" s="833">
        <f>'1461'!F23:G23</f>
        <v>5.992</v>
      </c>
      <c r="G23" s="833"/>
      <c r="H23" s="80">
        <f t="shared" si="1"/>
        <v>47.936</v>
      </c>
      <c r="I23" s="101">
        <f t="shared" si="2"/>
        <v>265972.13</v>
      </c>
      <c r="N23" s="834" t="s">
        <v>82</v>
      </c>
      <c r="O23" s="834"/>
      <c r="P23" s="831">
        <f t="shared" si="0"/>
        <v>8</v>
      </c>
      <c r="Q23" s="831"/>
      <c r="R23" s="835">
        <v>1</v>
      </c>
      <c r="S23" s="835"/>
      <c r="T23" s="95">
        <f t="shared" si="3"/>
        <v>8</v>
      </c>
      <c r="U23" s="524">
        <f t="shared" si="4"/>
        <v>44387.87</v>
      </c>
    </row>
    <row r="24" spans="1:21" x14ac:dyDescent="0.25">
      <c r="A24" s="788" t="s">
        <v>83</v>
      </c>
      <c r="B24" s="788"/>
      <c r="C24" s="143">
        <v>3.5</v>
      </c>
      <c r="D24" s="143">
        <v>0</v>
      </c>
      <c r="E24" s="116">
        <f t="shared" si="5"/>
        <v>7</v>
      </c>
      <c r="F24" s="833">
        <f>'1461'!F24:G24</f>
        <v>5.992</v>
      </c>
      <c r="G24" s="833"/>
      <c r="H24" s="80">
        <f t="shared" si="1"/>
        <v>41.944000000000003</v>
      </c>
      <c r="I24" s="101">
        <f t="shared" si="2"/>
        <v>232725.61</v>
      </c>
      <c r="N24" s="834" t="s">
        <v>83</v>
      </c>
      <c r="O24" s="834"/>
      <c r="P24" s="831">
        <f t="shared" si="0"/>
        <v>7</v>
      </c>
      <c r="Q24" s="831"/>
      <c r="R24" s="835">
        <v>1</v>
      </c>
      <c r="S24" s="835"/>
      <c r="T24" s="95">
        <f t="shared" si="3"/>
        <v>7</v>
      </c>
      <c r="U24" s="524">
        <f t="shared" si="4"/>
        <v>38839.39</v>
      </c>
    </row>
    <row r="25" spans="1:21" x14ac:dyDescent="0.25">
      <c r="A25" s="788" t="s">
        <v>84</v>
      </c>
      <c r="B25" s="788"/>
      <c r="C25" s="143">
        <v>5</v>
      </c>
      <c r="D25" s="143">
        <v>0</v>
      </c>
      <c r="E25" s="116">
        <f t="shared" si="5"/>
        <v>10</v>
      </c>
      <c r="F25" s="833">
        <f>'1461'!F25:G25</f>
        <v>5.992</v>
      </c>
      <c r="G25" s="833"/>
      <c r="H25" s="80">
        <f t="shared" si="1"/>
        <v>59.92</v>
      </c>
      <c r="I25" s="101">
        <f t="shared" si="2"/>
        <v>332465.15999999997</v>
      </c>
      <c r="N25" s="834" t="s">
        <v>84</v>
      </c>
      <c r="O25" s="834"/>
      <c r="P25" s="831">
        <f t="shared" si="0"/>
        <v>10</v>
      </c>
      <c r="Q25" s="831"/>
      <c r="R25" s="835">
        <v>1</v>
      </c>
      <c r="S25" s="835"/>
      <c r="T25" s="95">
        <f t="shared" si="3"/>
        <v>10</v>
      </c>
      <c r="U25" s="524">
        <f t="shared" si="4"/>
        <v>55484.84</v>
      </c>
    </row>
    <row r="26" spans="1:21" x14ac:dyDescent="0.25">
      <c r="A26" s="788" t="s">
        <v>85</v>
      </c>
      <c r="B26" s="788"/>
      <c r="C26" s="143">
        <v>0</v>
      </c>
      <c r="D26" s="143">
        <v>0</v>
      </c>
      <c r="E26" s="116">
        <f t="shared" si="5"/>
        <v>0</v>
      </c>
      <c r="F26" s="833">
        <f>'1461'!F26:G26</f>
        <v>1.1919999999999999</v>
      </c>
      <c r="G26" s="833"/>
      <c r="H26" s="80">
        <f t="shared" si="1"/>
        <v>0</v>
      </c>
      <c r="I26" s="101">
        <f t="shared" si="2"/>
        <v>0</v>
      </c>
      <c r="N26" s="834" t="s">
        <v>85</v>
      </c>
      <c r="O26" s="834"/>
      <c r="P26" s="831">
        <f t="shared" si="0"/>
        <v>0</v>
      </c>
      <c r="Q26" s="831"/>
      <c r="R26" s="835">
        <v>1</v>
      </c>
      <c r="S26" s="835"/>
      <c r="T26" s="95">
        <f t="shared" si="3"/>
        <v>0</v>
      </c>
      <c r="U26" s="524">
        <f t="shared" si="4"/>
        <v>0</v>
      </c>
    </row>
    <row r="27" spans="1:21" x14ac:dyDescent="0.25">
      <c r="A27" s="788" t="s">
        <v>86</v>
      </c>
      <c r="B27" s="788"/>
      <c r="C27" s="143">
        <v>0</v>
      </c>
      <c r="D27" s="143">
        <v>0</v>
      </c>
      <c r="E27" s="116">
        <f t="shared" si="5"/>
        <v>0</v>
      </c>
      <c r="F27" s="833">
        <f>'1461'!F27:G27</f>
        <v>1.1919999999999999</v>
      </c>
      <c r="G27" s="833"/>
      <c r="H27" s="80">
        <f t="shared" si="1"/>
        <v>0</v>
      </c>
      <c r="I27" s="101">
        <f t="shared" si="2"/>
        <v>0</v>
      </c>
      <c r="N27" s="834" t="s">
        <v>86</v>
      </c>
      <c r="O27" s="834"/>
      <c r="P27" s="831">
        <f t="shared" si="0"/>
        <v>0</v>
      </c>
      <c r="Q27" s="831"/>
      <c r="R27" s="835">
        <v>1</v>
      </c>
      <c r="S27" s="835"/>
      <c r="T27" s="95">
        <f t="shared" si="3"/>
        <v>0</v>
      </c>
      <c r="U27" s="524">
        <f t="shared" si="4"/>
        <v>0</v>
      </c>
    </row>
    <row r="28" spans="1:21" x14ac:dyDescent="0.25">
      <c r="A28" s="788" t="s">
        <v>87</v>
      </c>
      <c r="B28" s="788"/>
      <c r="C28" s="143">
        <v>0</v>
      </c>
      <c r="D28" s="143">
        <v>0</v>
      </c>
      <c r="E28" s="116">
        <f t="shared" si="5"/>
        <v>0</v>
      </c>
      <c r="F28" s="833">
        <f>'1461'!F28:G28</f>
        <v>1.1919999999999999</v>
      </c>
      <c r="G28" s="833"/>
      <c r="H28" s="80">
        <f t="shared" si="1"/>
        <v>0</v>
      </c>
      <c r="I28" s="101">
        <f t="shared" si="2"/>
        <v>0</v>
      </c>
      <c r="N28" s="834" t="s">
        <v>87</v>
      </c>
      <c r="O28" s="834"/>
      <c r="P28" s="831">
        <f t="shared" si="0"/>
        <v>0</v>
      </c>
      <c r="Q28" s="831"/>
      <c r="R28" s="835">
        <v>1</v>
      </c>
      <c r="S28" s="835"/>
      <c r="T28" s="95">
        <f t="shared" si="3"/>
        <v>0</v>
      </c>
      <c r="U28" s="524">
        <f t="shared" si="4"/>
        <v>0</v>
      </c>
    </row>
    <row r="29" spans="1:21" x14ac:dyDescent="0.25">
      <c r="A29" s="788" t="s">
        <v>88</v>
      </c>
      <c r="B29" s="788"/>
      <c r="C29" s="110">
        <v>0</v>
      </c>
      <c r="D29" s="110">
        <v>0</v>
      </c>
      <c r="E29" s="154">
        <f t="shared" si="5"/>
        <v>0</v>
      </c>
      <c r="F29" s="833">
        <f>'1461'!F29:G29</f>
        <v>1.079</v>
      </c>
      <c r="G29" s="833"/>
      <c r="H29" s="93">
        <f t="shared" si="1"/>
        <v>0</v>
      </c>
      <c r="I29" s="94">
        <f t="shared" si="2"/>
        <v>0</v>
      </c>
      <c r="N29" s="836" t="s">
        <v>88</v>
      </c>
      <c r="O29" s="836"/>
      <c r="P29" s="831">
        <f t="shared" si="0"/>
        <v>0</v>
      </c>
      <c r="Q29" s="831"/>
      <c r="R29" s="837">
        <v>1</v>
      </c>
      <c r="S29" s="837"/>
      <c r="T29" s="95">
        <f t="shared" si="3"/>
        <v>0</v>
      </c>
      <c r="U29" s="524">
        <f t="shared" si="4"/>
        <v>0</v>
      </c>
    </row>
    <row r="30" spans="1:21" x14ac:dyDescent="0.25">
      <c r="A30" s="800" t="s">
        <v>5</v>
      </c>
      <c r="B30" s="800"/>
      <c r="C30" s="94">
        <f>SUM(C14:C29)</f>
        <v>24.5</v>
      </c>
      <c r="D30" s="94">
        <f>SUM(D14:D29)</f>
        <v>0</v>
      </c>
      <c r="E30" s="94">
        <f>SUM(E14:E29)</f>
        <v>49</v>
      </c>
      <c r="F30" s="792"/>
      <c r="G30" s="792"/>
      <c r="H30" s="99">
        <f>SUM(H14:H29)</f>
        <v>186.86700000000002</v>
      </c>
      <c r="I30" s="94">
        <f>SUM(I14:I29)</f>
        <v>1036828.5599999998</v>
      </c>
      <c r="N30" s="838" t="s">
        <v>5</v>
      </c>
      <c r="O30" s="838"/>
      <c r="P30" s="839">
        <f>SUM(P14:P29)</f>
        <v>49</v>
      </c>
      <c r="Q30" s="839"/>
      <c r="R30" s="840"/>
      <c r="S30" s="840"/>
      <c r="T30" s="100">
        <f>SUM(T14:T29)</f>
        <v>49</v>
      </c>
      <c r="U30" s="524">
        <f>SUM(U14:U29)</f>
        <v>271875.71999999997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x14ac:dyDescent="0.25">
      <c r="A34" s="146"/>
      <c r="B34" s="26"/>
      <c r="C34" s="101"/>
      <c r="D34" s="101"/>
      <c r="E34" s="101"/>
      <c r="F34" s="880" t="s">
        <v>232</v>
      </c>
      <c r="G34" s="880"/>
      <c r="H34" s="880"/>
      <c r="I34" s="101"/>
      <c r="N34" s="28"/>
      <c r="O34" s="28"/>
      <c r="P34" s="29"/>
      <c r="Q34" s="29"/>
      <c r="R34" s="30"/>
      <c r="S34" s="30"/>
      <c r="T34" s="102"/>
      <c r="U34" s="103"/>
    </row>
    <row r="35" spans="1:21" x14ac:dyDescent="0.25">
      <c r="A35" s="3"/>
      <c r="B35" s="69"/>
      <c r="C35" s="69"/>
      <c r="D35" s="69"/>
      <c r="E35" s="69"/>
      <c r="F35" s="880"/>
      <c r="G35" s="880"/>
      <c r="H35" s="880"/>
      <c r="I35" s="24" t="s">
        <v>61</v>
      </c>
      <c r="N35" s="813" t="s">
        <v>26</v>
      </c>
      <c r="O35" s="813"/>
      <c r="P35" s="813"/>
      <c r="Q35" s="813"/>
      <c r="R35" s="813"/>
      <c r="S35" s="813"/>
      <c r="T35" s="813"/>
      <c r="U35" s="25" t="str">
        <f>I35</f>
        <v>2015-16</v>
      </c>
    </row>
    <row r="36" spans="1:2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thickBot="1" x14ac:dyDescent="0.3">
      <c r="A45" s="3"/>
      <c r="B45" s="52"/>
      <c r="C45" s="101"/>
      <c r="D45" s="101"/>
      <c r="E45" s="111"/>
      <c r="F45" s="32"/>
      <c r="G45" s="106"/>
      <c r="H45" s="107"/>
      <c r="I45" s="101"/>
      <c r="N45" s="28"/>
      <c r="O45" s="28"/>
      <c r="P45" s="28"/>
      <c r="Q45" s="28"/>
      <c r="R45" s="33"/>
      <c r="S45" s="30"/>
      <c r="T45" s="30"/>
      <c r="U45" s="103"/>
    </row>
    <row r="46" spans="1:21" ht="16.5" thickBot="1" x14ac:dyDescent="0.3">
      <c r="A46" s="3"/>
      <c r="B46" s="52" t="s">
        <v>96</v>
      </c>
      <c r="E46" s="152">
        <f>H30+E44</f>
        <v>186.86700000000002</v>
      </c>
      <c r="F46" s="34"/>
      <c r="G46" s="106"/>
      <c r="H46" s="107" t="s">
        <v>98</v>
      </c>
      <c r="I46" s="94">
        <f>SUM(I44,I30)</f>
        <v>1036828.5599999998</v>
      </c>
      <c r="N46" s="846" t="s">
        <v>44</v>
      </c>
      <c r="O46" s="846"/>
      <c r="P46" s="846"/>
      <c r="Q46" s="846"/>
      <c r="R46" s="35">
        <f>R44+T30</f>
        <v>49</v>
      </c>
      <c r="S46" s="840" t="s">
        <v>42</v>
      </c>
      <c r="T46" s="840"/>
      <c r="U46" s="108">
        <f>SUM(U44,U30)</f>
        <v>271875.71999999997</v>
      </c>
    </row>
    <row r="47" spans="1:21" ht="16.5"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1036828.56</v>
      </c>
      <c r="G51" s="109" t="s">
        <v>6</v>
      </c>
      <c r="H51" s="453">
        <v>5.5899999999999998E-2</v>
      </c>
      <c r="I51" s="101">
        <f>ROUND(F51*H51,2)</f>
        <v>57958.720000000001</v>
      </c>
      <c r="N51" s="458"/>
      <c r="O51" s="459" t="s">
        <v>576</v>
      </c>
      <c r="P51" s="28"/>
      <c r="Q51" s="44" t="s">
        <v>461</v>
      </c>
      <c r="R51" s="460">
        <f>U30</f>
        <v>271875.71999999997</v>
      </c>
      <c r="S51" s="461" t="s">
        <v>6</v>
      </c>
      <c r="T51" s="462">
        <v>5.5899999999999998E-2</v>
      </c>
      <c r="U51" s="454">
        <f>ROUND(R51*T51,2)</f>
        <v>15197.85</v>
      </c>
    </row>
    <row r="52" spans="1:22" x14ac:dyDescent="0.25">
      <c r="A52" s="26"/>
      <c r="B52" s="618" t="s">
        <v>580</v>
      </c>
      <c r="C52" s="26"/>
      <c r="D52" s="26"/>
      <c r="E52" s="43" t="s">
        <v>461</v>
      </c>
      <c r="F52" s="452">
        <v>1036828.56</v>
      </c>
      <c r="G52" s="109" t="s">
        <v>6</v>
      </c>
      <c r="H52" s="453">
        <v>1.0699999999999999E-2</v>
      </c>
      <c r="I52" s="101">
        <f>ROUND(F52*H52,2)</f>
        <v>11094.07</v>
      </c>
      <c r="N52" s="28"/>
      <c r="O52" s="619" t="s">
        <v>579</v>
      </c>
      <c r="P52" s="28"/>
      <c r="Q52" s="44" t="s">
        <v>461</v>
      </c>
      <c r="R52" s="460">
        <f>U30</f>
        <v>271875.71999999997</v>
      </c>
      <c r="S52" s="461" t="s">
        <v>6</v>
      </c>
      <c r="T52" s="462">
        <v>1.0699999999999999E-2</v>
      </c>
      <c r="U52" s="463">
        <f>ROUND(R52*T52,2)</f>
        <v>2909.07</v>
      </c>
    </row>
    <row r="53" spans="1:22" x14ac:dyDescent="0.25">
      <c r="A53" s="26"/>
      <c r="B53" s="81" t="s">
        <v>462</v>
      </c>
      <c r="C53" s="26"/>
      <c r="D53" s="26"/>
      <c r="E53" s="43"/>
      <c r="F53" s="452"/>
      <c r="G53" s="109"/>
      <c r="H53" s="453"/>
      <c r="I53" s="97">
        <f>SUM(I51:I52)</f>
        <v>69052.790000000008</v>
      </c>
      <c r="N53" s="28"/>
      <c r="O53" s="435" t="s">
        <v>462</v>
      </c>
      <c r="P53" s="28"/>
      <c r="Q53" s="44"/>
      <c r="R53" s="460"/>
      <c r="S53" s="461"/>
      <c r="T53" s="462"/>
      <c r="U53" s="454">
        <f>SUM(U51:U52)</f>
        <v>18106.920000000002</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2" si="10">IF(D$72=0,C57*2,C57+D57)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IF(D$66=0,C63*2,C63+D63)</f>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1</v>
      </c>
      <c r="D64" s="143">
        <v>0</v>
      </c>
      <c r="E64" s="116">
        <f>IF(D$66=0,C64*2,C64+D64)</f>
        <v>2</v>
      </c>
      <c r="F64" s="495" t="s">
        <v>14</v>
      </c>
      <c r="G64" s="494">
        <v>252</v>
      </c>
      <c r="H64" s="508">
        <f>'1461'!H64</f>
        <v>3168</v>
      </c>
      <c r="I64" s="101">
        <f t="shared" si="11"/>
        <v>6336</v>
      </c>
      <c r="N64" s="849"/>
      <c r="O64" s="849"/>
      <c r="P64" s="851"/>
      <c r="Q64" s="851"/>
      <c r="R64" s="40" t="s">
        <v>14</v>
      </c>
      <c r="S64" s="500">
        <v>252</v>
      </c>
      <c r="T64" s="511">
        <f t="shared" si="12"/>
        <v>3168</v>
      </c>
      <c r="U64" s="525">
        <f t="shared" si="13"/>
        <v>0</v>
      </c>
      <c r="V64" s="475"/>
    </row>
    <row r="65" spans="1:22" ht="16.5" thickBot="1" x14ac:dyDescent="0.3">
      <c r="A65" s="799"/>
      <c r="B65" s="799"/>
      <c r="C65" s="143">
        <v>8.5</v>
      </c>
      <c r="D65" s="143">
        <v>0</v>
      </c>
      <c r="E65" s="116">
        <f>IF(D$66=0,C65*2,C65+D65)</f>
        <v>17</v>
      </c>
      <c r="F65" s="495" t="s">
        <v>14</v>
      </c>
      <c r="G65" s="494">
        <v>253</v>
      </c>
      <c r="H65" s="508">
        <f>'1461'!H65</f>
        <v>6685</v>
      </c>
      <c r="I65" s="101">
        <f t="shared" si="11"/>
        <v>113645</v>
      </c>
      <c r="N65" s="849"/>
      <c r="O65" s="849"/>
      <c r="P65" s="857"/>
      <c r="Q65" s="857"/>
      <c r="R65" s="40" t="s">
        <v>14</v>
      </c>
      <c r="S65" s="500">
        <v>253</v>
      </c>
      <c r="T65" s="511">
        <f t="shared" si="12"/>
        <v>6685</v>
      </c>
      <c r="U65" s="526">
        <f t="shared" si="13"/>
        <v>0</v>
      </c>
      <c r="V65" s="475"/>
    </row>
    <row r="66" spans="1:22" ht="16.5" thickBot="1" x14ac:dyDescent="0.3">
      <c r="A66" s="491"/>
      <c r="C66" s="97">
        <f>SUM(C57:C65)</f>
        <v>9.5</v>
      </c>
      <c r="D66" s="97">
        <f>SUM(D57:D65)</f>
        <v>0</v>
      </c>
      <c r="E66" s="97">
        <f>SUM(E57:E65)</f>
        <v>19</v>
      </c>
      <c r="F66" s="800" t="s">
        <v>507</v>
      </c>
      <c r="G66" s="800"/>
      <c r="H66" s="800"/>
      <c r="I66" s="97">
        <f>SUM(I57:I65)</f>
        <v>119981</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49</v>
      </c>
      <c r="D69" s="775" t="s">
        <v>474</v>
      </c>
      <c r="E69" s="775"/>
      <c r="F69" s="775"/>
      <c r="G69" s="775"/>
      <c r="H69" s="299">
        <f>'1461'!H69</f>
        <v>210935.24</v>
      </c>
      <c r="I69" s="113"/>
      <c r="N69" s="853" t="s">
        <v>467</v>
      </c>
      <c r="O69" s="834"/>
      <c r="P69" s="41">
        <f>P30</f>
        <v>49</v>
      </c>
      <c r="Q69" s="854" t="s">
        <v>469</v>
      </c>
      <c r="R69" s="855"/>
      <c r="S69" s="855"/>
      <c r="T69" s="856">
        <f>H69</f>
        <v>210935.24</v>
      </c>
      <c r="U69" s="856"/>
    </row>
    <row r="70" spans="1:22" x14ac:dyDescent="0.25">
      <c r="B70" s="69"/>
      <c r="G70" s="42" t="s">
        <v>12</v>
      </c>
      <c r="H70" s="114">
        <f>ROUND(C69/H69,6)</f>
        <v>2.32E-4</v>
      </c>
      <c r="I70" s="115"/>
      <c r="N70" s="834"/>
      <c r="O70" s="834"/>
      <c r="P70" s="834"/>
      <c r="Q70" s="834"/>
      <c r="R70" s="834"/>
      <c r="S70" s="834"/>
      <c r="T70" s="852">
        <f>ROUND(P69/T69,6)</f>
        <v>2.32E-4</v>
      </c>
      <c r="U70" s="852"/>
    </row>
    <row r="71" spans="1:22" x14ac:dyDescent="0.25">
      <c r="A71" s="493" t="s">
        <v>510</v>
      </c>
      <c r="N71" s="504" t="s">
        <v>518</v>
      </c>
      <c r="O71" s="51"/>
      <c r="P71" s="51"/>
      <c r="Q71" s="51"/>
      <c r="R71" s="51"/>
      <c r="S71" s="51"/>
      <c r="T71" s="51"/>
      <c r="U71" s="51"/>
    </row>
    <row r="72" spans="1:22" x14ac:dyDescent="0.25">
      <c r="A72" s="794" t="s">
        <v>464</v>
      </c>
      <c r="B72" s="788"/>
      <c r="C72" s="112">
        <f>H30</f>
        <v>186.86700000000002</v>
      </c>
      <c r="D72" s="775" t="s">
        <v>475</v>
      </c>
      <c r="E72" s="775"/>
      <c r="F72" s="775"/>
      <c r="G72" s="775"/>
      <c r="H72" s="300">
        <f>'1461'!H72</f>
        <v>237601.62</v>
      </c>
      <c r="I72" s="116"/>
      <c r="N72" s="853" t="s">
        <v>468</v>
      </c>
      <c r="O72" s="834"/>
      <c r="P72" s="41">
        <f>T30</f>
        <v>49</v>
      </c>
      <c r="Q72" s="854" t="s">
        <v>470</v>
      </c>
      <c r="R72" s="855"/>
      <c r="S72" s="855"/>
      <c r="T72" s="856">
        <f>H72</f>
        <v>237601.62</v>
      </c>
      <c r="U72" s="856"/>
    </row>
    <row r="73" spans="1:22" x14ac:dyDescent="0.25">
      <c r="G73" s="42" t="s">
        <v>12</v>
      </c>
      <c r="H73" s="114">
        <f>ROUND(C72/H72,6)</f>
        <v>7.8600000000000002E-4</v>
      </c>
      <c r="I73" s="114"/>
      <c r="N73" s="834"/>
      <c r="O73" s="834"/>
      <c r="P73" s="834"/>
      <c r="Q73" s="834"/>
      <c r="R73" s="834"/>
      <c r="S73" s="834"/>
      <c r="T73" s="852">
        <f>ROUND(P72/T72,6)</f>
        <v>2.0599999999999999E-4</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49</v>
      </c>
      <c r="D75" s="767" t="s">
        <v>476</v>
      </c>
      <c r="E75" s="767"/>
      <c r="F75" s="767"/>
      <c r="G75" s="767"/>
      <c r="H75" s="299">
        <f>'1461'!H75</f>
        <v>186826.74</v>
      </c>
      <c r="I75" s="113"/>
      <c r="N75" s="853" t="s">
        <v>466</v>
      </c>
      <c r="O75" s="834"/>
      <c r="P75" s="41">
        <f>P30</f>
        <v>49</v>
      </c>
      <c r="Q75" s="861" t="s">
        <v>471</v>
      </c>
      <c r="R75" s="862"/>
      <c r="S75" s="862"/>
      <c r="T75" s="856">
        <f>H75</f>
        <v>186826.74</v>
      </c>
      <c r="U75" s="856"/>
    </row>
    <row r="76" spans="1:22" x14ac:dyDescent="0.25">
      <c r="B76" s="69"/>
      <c r="G76" s="42" t="s">
        <v>12</v>
      </c>
      <c r="H76" s="114">
        <f>ROUND(C75/H75,6)</f>
        <v>2.6200000000000003E-4</v>
      </c>
      <c r="I76" s="115"/>
      <c r="N76" s="834"/>
      <c r="O76" s="834"/>
      <c r="P76" s="834"/>
      <c r="Q76" s="834"/>
      <c r="R76" s="834"/>
      <c r="S76" s="834"/>
      <c r="T76" s="852">
        <f>ROUND(P75/T75,6)</f>
        <v>2.6200000000000003E-4</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49</v>
      </c>
      <c r="D78" s="795" t="s">
        <v>477</v>
      </c>
      <c r="E78" s="795"/>
      <c r="F78" s="795"/>
      <c r="G78" s="795"/>
      <c r="H78" s="299">
        <f>'1461'!H78</f>
        <v>210630.63</v>
      </c>
      <c r="I78" s="113"/>
      <c r="N78" s="853" t="s">
        <v>466</v>
      </c>
      <c r="O78" s="834"/>
      <c r="P78" s="41">
        <f>P30</f>
        <v>49</v>
      </c>
      <c r="Q78" s="859" t="s">
        <v>472</v>
      </c>
      <c r="R78" s="860"/>
      <c r="S78" s="860"/>
      <c r="T78" s="856">
        <f>H78</f>
        <v>210630.63</v>
      </c>
      <c r="U78" s="856"/>
    </row>
    <row r="79" spans="1:22" x14ac:dyDescent="0.25">
      <c r="B79" s="69"/>
      <c r="G79" s="42" t="s">
        <v>12</v>
      </c>
      <c r="H79" s="114">
        <f>ROUND(C78/H78,6)</f>
        <v>2.33E-4</v>
      </c>
      <c r="I79" s="115"/>
      <c r="N79" s="834"/>
      <c r="O79" s="834"/>
      <c r="P79" s="834"/>
      <c r="Q79" s="834"/>
      <c r="R79" s="834"/>
      <c r="S79" s="834"/>
      <c r="T79" s="852">
        <f>ROUND(P78/T78,6)</f>
        <v>2.33E-4</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49</v>
      </c>
      <c r="D81" s="767" t="s">
        <v>478</v>
      </c>
      <c r="E81" s="767"/>
      <c r="F81" s="767"/>
      <c r="G81" s="767"/>
      <c r="H81" s="299">
        <f>'1461'!H81</f>
        <v>186522.13</v>
      </c>
      <c r="I81" s="113"/>
      <c r="N81" s="853" t="s">
        <v>479</v>
      </c>
      <c r="O81" s="834"/>
      <c r="P81" s="41">
        <f>P30</f>
        <v>49</v>
      </c>
      <c r="Q81" s="861" t="s">
        <v>480</v>
      </c>
      <c r="R81" s="862"/>
      <c r="S81" s="862"/>
      <c r="T81" s="856">
        <f>H81</f>
        <v>186522.13</v>
      </c>
      <c r="U81" s="856"/>
    </row>
    <row r="82" spans="1:21" x14ac:dyDescent="0.25">
      <c r="B82" s="69"/>
      <c r="G82" s="42" t="s">
        <v>12</v>
      </c>
      <c r="H82" s="114">
        <f>ROUND(C81/H81,6)</f>
        <v>2.63E-4</v>
      </c>
      <c r="I82" s="115"/>
      <c r="N82" s="834"/>
      <c r="O82" s="834"/>
      <c r="P82" s="834"/>
      <c r="Q82" s="834"/>
      <c r="R82" s="834"/>
      <c r="S82" s="834"/>
      <c r="T82" s="852">
        <f>ROUND(P81/T81,6)</f>
        <v>2.63E-4</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2.33E-4</v>
      </c>
      <c r="I85" s="101">
        <f>ROUND(F85*H85,2)</f>
        <v>10788.3</v>
      </c>
      <c r="N85" s="504" t="s">
        <v>514</v>
      </c>
      <c r="O85" s="51"/>
      <c r="P85" s="51"/>
      <c r="Q85" s="44"/>
      <c r="R85" s="470">
        <f>F85</f>
        <v>46301717</v>
      </c>
      <c r="S85" s="38" t="s">
        <v>6</v>
      </c>
      <c r="T85" s="472">
        <f>T79</f>
        <v>2.33E-4</v>
      </c>
      <c r="U85" s="524">
        <f>ROUND(R85*T85,2)</f>
        <v>10788.3</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2.32E-4</v>
      </c>
      <c r="I88" s="101">
        <f>ROUND(F88*H88,2)</f>
        <v>0</v>
      </c>
      <c r="N88" s="863" t="s">
        <v>99</v>
      </c>
      <c r="O88" s="834"/>
      <c r="P88" s="834"/>
      <c r="Q88" s="44"/>
      <c r="R88" s="470">
        <f>F88</f>
        <v>0</v>
      </c>
      <c r="S88" s="38" t="s">
        <v>6</v>
      </c>
      <c r="T88" s="472">
        <f>T70</f>
        <v>2.32E-4</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2.63E-4</v>
      </c>
      <c r="I90" s="101">
        <f>ROUND(F90*H90,2)</f>
        <v>5030.1099999999997</v>
      </c>
      <c r="N90" s="504" t="s">
        <v>515</v>
      </c>
      <c r="O90" s="51"/>
      <c r="P90" s="51"/>
      <c r="Q90" s="44"/>
      <c r="R90" s="470">
        <f>F90</f>
        <v>19125890</v>
      </c>
      <c r="S90" s="38" t="s">
        <v>6</v>
      </c>
      <c r="T90" s="472">
        <f>T82</f>
        <v>2.63E-4</v>
      </c>
      <c r="U90" s="524">
        <f>ROUND(R90*T90,2)</f>
        <v>5030.1099999999997</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2.6200000000000003E-4</v>
      </c>
      <c r="I92" s="101">
        <f t="shared" ref="I92:I96" si="14">ROUND(F92*H92,2)</f>
        <v>3015.98</v>
      </c>
      <c r="N92" s="504" t="s">
        <v>516</v>
      </c>
      <c r="O92" s="51"/>
      <c r="P92" s="51"/>
      <c r="Q92" s="44"/>
      <c r="R92" s="470">
        <f t="shared" ref="R92:R96" si="15">F92</f>
        <v>11511363</v>
      </c>
      <c r="S92" s="38" t="s">
        <v>6</v>
      </c>
      <c r="T92" s="472">
        <f>T76</f>
        <v>2.6200000000000003E-4</v>
      </c>
      <c r="U92" s="524">
        <f>ROUND(R92*T92,2)</f>
        <v>3015.98</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7.8600000000000002E-4</v>
      </c>
      <c r="I94" s="101">
        <f t="shared" si="14"/>
        <v>201024.86</v>
      </c>
      <c r="N94" s="834" t="s">
        <v>482</v>
      </c>
      <c r="O94" s="834"/>
      <c r="P94" s="834"/>
      <c r="Q94" s="44"/>
      <c r="R94" s="470">
        <f t="shared" si="15"/>
        <v>255756816</v>
      </c>
      <c r="S94" s="38" t="s">
        <v>6</v>
      </c>
      <c r="T94" s="472">
        <f>T73</f>
        <v>2.0599999999999999E-4</v>
      </c>
      <c r="U94" s="524">
        <f>ROUND(R94*T94,2)</f>
        <v>52685.9</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7.8600000000000002E-4</v>
      </c>
      <c r="I96" s="101">
        <f t="shared" si="14"/>
        <v>-12139.03</v>
      </c>
      <c r="N96" s="853" t="s">
        <v>483</v>
      </c>
      <c r="O96" s="834"/>
      <c r="P96" s="834"/>
      <c r="Q96" s="44"/>
      <c r="R96" s="470">
        <f t="shared" si="15"/>
        <v>-15444055</v>
      </c>
      <c r="S96" s="38" t="s">
        <v>6</v>
      </c>
      <c r="T96" s="472">
        <f>T73</f>
        <v>2.0599999999999999E-4</v>
      </c>
      <c r="U96" s="524">
        <f>ROUND(R96*T96,2)</f>
        <v>-3181.48</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2.32E-4</v>
      </c>
      <c r="I98" s="101">
        <f t="shared" ref="I98" si="16">ROUND(F98*H98,2)</f>
        <v>1304.17</v>
      </c>
      <c r="N98" s="587" t="s">
        <v>556</v>
      </c>
      <c r="O98" s="587"/>
      <c r="P98" s="587"/>
      <c r="Q98" s="44"/>
      <c r="R98" s="590">
        <f>F98</f>
        <v>5621424</v>
      </c>
      <c r="S98" s="588" t="s">
        <v>6</v>
      </c>
      <c r="T98" s="472">
        <f>T70</f>
        <v>2.32E-4</v>
      </c>
      <c r="U98" s="524">
        <f>ROUND(R98*T98,2)</f>
        <v>1304.17</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51.633000000000003</v>
      </c>
      <c r="D104" s="806"/>
      <c r="E104" s="46">
        <f>H8</f>
        <v>1.0407999999999999</v>
      </c>
      <c r="F104" s="302">
        <f>'1461'!F104</f>
        <v>950.92</v>
      </c>
      <c r="G104" s="39" t="s">
        <v>12</v>
      </c>
      <c r="H104" s="101">
        <f>ROUND(C104*E104*F104,2)</f>
        <v>51102.09</v>
      </c>
      <c r="I104" s="104"/>
      <c r="N104" s="28" t="s">
        <v>17</v>
      </c>
      <c r="O104" s="47">
        <f>T14+T15+T20+T23+T26</f>
        <v>9</v>
      </c>
      <c r="P104" s="864">
        <f>T8</f>
        <v>1.0407999999999999</v>
      </c>
      <c r="Q104" s="864"/>
      <c r="R104" s="48">
        <f>F104</f>
        <v>950.92</v>
      </c>
      <c r="S104" s="40" t="s">
        <v>12</v>
      </c>
      <c r="T104" s="530">
        <f>ROUND(O104*P104*R104,2)</f>
        <v>8907.4599999999991</v>
      </c>
      <c r="U104" s="102"/>
    </row>
    <row r="105" spans="1:21" x14ac:dyDescent="0.25">
      <c r="A105" s="49"/>
      <c r="B105" s="49" t="s">
        <v>104</v>
      </c>
      <c r="C105" s="806">
        <f>H16+H17+H21+H24+H27</f>
        <v>49.338000000000001</v>
      </c>
      <c r="D105" s="806"/>
      <c r="E105" s="46">
        <f>H8</f>
        <v>1.0407999999999999</v>
      </c>
      <c r="F105" s="302">
        <f>'1461'!F105</f>
        <v>907.92</v>
      </c>
      <c r="G105" s="39" t="s">
        <v>12</v>
      </c>
      <c r="H105" s="101">
        <f>ROUND(C105*E105*F105,2)</f>
        <v>46622.59</v>
      </c>
      <c r="N105" s="50" t="s">
        <v>13</v>
      </c>
      <c r="O105" s="47">
        <f>T16+T17+T21+T24+T27</f>
        <v>9</v>
      </c>
      <c r="P105" s="864">
        <f>T8</f>
        <v>1.0407999999999999</v>
      </c>
      <c r="Q105" s="864"/>
      <c r="R105" s="48">
        <f>F105</f>
        <v>907.92</v>
      </c>
      <c r="S105" s="40" t="s">
        <v>12</v>
      </c>
      <c r="T105" s="530">
        <f>ROUND(O105*P105*R105,2)</f>
        <v>8504.67</v>
      </c>
      <c r="U105" s="51"/>
    </row>
    <row r="106" spans="1:21" ht="16.5" thickBot="1" x14ac:dyDescent="0.3">
      <c r="A106" s="52"/>
      <c r="B106" s="52" t="s">
        <v>103</v>
      </c>
      <c r="C106" s="806">
        <f>H18+H19+H22+H25+H28+H29</f>
        <v>85.896000000000001</v>
      </c>
      <c r="D106" s="806"/>
      <c r="E106" s="46">
        <f>H8</f>
        <v>1.0407999999999999</v>
      </c>
      <c r="F106" s="302">
        <f>'1461'!F106</f>
        <v>910.12</v>
      </c>
      <c r="G106" s="39" t="s">
        <v>12</v>
      </c>
      <c r="H106" s="94">
        <f>ROUND(C106*E106*F106,2)</f>
        <v>81365.23</v>
      </c>
      <c r="N106" s="53" t="s">
        <v>14</v>
      </c>
      <c r="O106" s="54">
        <f>T18+T19+T22+T25+T28+T29</f>
        <v>31</v>
      </c>
      <c r="P106" s="864">
        <f>T8</f>
        <v>1.0407999999999999</v>
      </c>
      <c r="Q106" s="864"/>
      <c r="R106" s="48">
        <f>F106</f>
        <v>910.12</v>
      </c>
      <c r="S106" s="40" t="s">
        <v>12</v>
      </c>
      <c r="T106" s="530">
        <f>ROUND(O106*P106*R106,2)</f>
        <v>29364.84</v>
      </c>
      <c r="U106" s="51"/>
    </row>
    <row r="107" spans="1:21" ht="16.5" thickBot="1" x14ac:dyDescent="0.3">
      <c r="A107" s="55"/>
      <c r="B107" s="122" t="s">
        <v>102</v>
      </c>
      <c r="C107" s="796">
        <f>SUM(C104:C106)</f>
        <v>186.86700000000002</v>
      </c>
      <c r="D107" s="796"/>
      <c r="E107" s="123"/>
      <c r="F107" s="123"/>
      <c r="G107" s="123"/>
      <c r="H107" s="124" t="s">
        <v>100</v>
      </c>
      <c r="I107" s="101">
        <f>IF(A1=75,0,H106+H105+H104)</f>
        <v>179089.90999999997</v>
      </c>
      <c r="N107" s="56" t="s">
        <v>89</v>
      </c>
      <c r="O107" s="57">
        <f>SUM(O104:O106)</f>
        <v>49</v>
      </c>
      <c r="P107" s="870" t="s">
        <v>16</v>
      </c>
      <c r="Q107" s="871"/>
      <c r="R107" s="871"/>
      <c r="S107" s="871"/>
      <c r="T107" s="871"/>
      <c r="U107" s="524">
        <f>IF(N1=75,0,T106+T105+T104)</f>
        <v>46776.97</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23</v>
      </c>
      <c r="D113" s="143">
        <v>0</v>
      </c>
      <c r="E113" s="116">
        <f>(C113+D113)</f>
        <v>23</v>
      </c>
      <c r="F113" s="126" t="s">
        <v>30</v>
      </c>
      <c r="G113" s="303">
        <f>'1461'!G113</f>
        <v>607</v>
      </c>
      <c r="I113" s="101">
        <f>ROUND(G113*E113,2)</f>
        <v>13961</v>
      </c>
      <c r="N113" s="868" t="s">
        <v>52</v>
      </c>
      <c r="O113" s="868"/>
      <c r="P113" s="869">
        <f>IF(H133=1,E113,0)</f>
        <v>23</v>
      </c>
      <c r="Q113" s="869"/>
      <c r="R113" s="869"/>
      <c r="S113" s="83" t="s">
        <v>30</v>
      </c>
      <c r="T113" s="58">
        <f>G113</f>
        <v>607</v>
      </c>
      <c r="U113" s="524">
        <f>ROUND(T113*P113,2)</f>
        <v>13961</v>
      </c>
    </row>
    <row r="114" spans="1:21" x14ac:dyDescent="0.25">
      <c r="A114" s="767" t="s">
        <v>444</v>
      </c>
      <c r="B114" s="768"/>
      <c r="C114" s="143">
        <v>1</v>
      </c>
      <c r="D114" s="143">
        <v>0</v>
      </c>
      <c r="E114" s="116">
        <f>C114</f>
        <v>1</v>
      </c>
      <c r="F114" s="126" t="s">
        <v>30</v>
      </c>
      <c r="G114" s="303">
        <f>'1461'!G114</f>
        <v>1842</v>
      </c>
      <c r="I114" s="101">
        <f>ROUND(G114*E114,2)</f>
        <v>1842</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605</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1560726.8599999999</v>
      </c>
      <c r="N128" s="504"/>
      <c r="O128" s="503"/>
      <c r="P128" s="503"/>
      <c r="Q128" s="305"/>
      <c r="R128" s="305"/>
      <c r="S128" s="305"/>
      <c r="T128" s="305"/>
      <c r="U128" s="531">
        <f>SUM(U30,U85,U88,U90,U92,U94,U96,U107,U113,U114,U124,U126)</f>
        <v>400952.5</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1491674.0699999998</v>
      </c>
      <c r="N130" s="853" t="s">
        <v>494</v>
      </c>
      <c r="O130" s="834"/>
      <c r="P130" s="834"/>
      <c r="Q130" s="834"/>
      <c r="R130" s="834"/>
      <c r="S130" s="834"/>
      <c r="T130" s="834"/>
      <c r="U130" s="132">
        <f>U128-U53</f>
        <v>382845.58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563</v>
      </c>
      <c r="O132" s="834"/>
      <c r="P132" s="834"/>
      <c r="Q132" s="834"/>
      <c r="R132" s="834"/>
      <c r="S132" s="834"/>
      <c r="T132" s="834"/>
      <c r="U132" s="138"/>
    </row>
    <row r="133" spans="1:21" x14ac:dyDescent="0.25">
      <c r="A133" s="788" t="s">
        <v>70</v>
      </c>
      <c r="B133" s="788"/>
      <c r="C133" s="788"/>
      <c r="D133" s="788"/>
      <c r="E133" s="788"/>
      <c r="F133" s="788"/>
      <c r="G133" s="788"/>
      <c r="H133" s="70">
        <f>IF(E30=0,"",IF((E15+E17+SUM(E19:E25))/E30&gt;0.75,1,""))</f>
        <v>1</v>
      </c>
      <c r="I133" s="116">
        <f>U130</f>
        <v>382845.58</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382845.58</v>
      </c>
      <c r="I135" s="94">
        <f>ROUND(IF(E30=0,0,IF(E30&gt;250,-(((250/E30)*H135)*IF(G135="H",0.02,0.05)),IF(G135="H",-0.02*H135,-0.05*H135))),2)</f>
        <v>-19142.28</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1541584.5799999998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Payments'!Q75</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1541584.5799999998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128465.38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434</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435</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436</v>
      </c>
      <c r="B155" s="360"/>
      <c r="C155" s="360"/>
      <c r="D155" s="360"/>
      <c r="E155" s="360"/>
      <c r="F155" s="360"/>
      <c r="G155" s="360"/>
      <c r="H155" s="360"/>
      <c r="I155" s="360"/>
      <c r="N155" s="879"/>
      <c r="O155" s="879"/>
      <c r="P155" s="879"/>
      <c r="Q155" s="879"/>
      <c r="R155" s="879"/>
      <c r="S155" s="879"/>
      <c r="T155" s="879"/>
      <c r="U155" s="879"/>
    </row>
    <row r="156" spans="1:21" s="76" customFormat="1" x14ac:dyDescent="0.2">
      <c r="A156" s="358" t="s">
        <v>437</v>
      </c>
      <c r="B156" s="360"/>
      <c r="C156" s="360"/>
      <c r="D156" s="360"/>
      <c r="E156" s="360"/>
      <c r="F156" s="360"/>
      <c r="G156" s="360"/>
      <c r="H156" s="360"/>
      <c r="I156" s="360"/>
      <c r="N156" s="73"/>
      <c r="O156" s="73"/>
      <c r="P156" s="73"/>
      <c r="Q156" s="73"/>
      <c r="R156" s="73"/>
      <c r="S156" s="73"/>
      <c r="T156" s="73"/>
      <c r="U156" s="73"/>
    </row>
    <row r="157" spans="1:21" s="76" customFormat="1" x14ac:dyDescent="0.2">
      <c r="A157" s="358" t="s">
        <v>438</v>
      </c>
      <c r="B157" s="360"/>
      <c r="C157" s="360"/>
      <c r="D157" s="360"/>
      <c r="E157" s="360"/>
      <c r="F157" s="360"/>
      <c r="G157" s="360"/>
      <c r="H157" s="360"/>
      <c r="I157" s="360"/>
      <c r="N157" s="78"/>
      <c r="O157" s="79"/>
      <c r="P157" s="79"/>
      <c r="Q157" s="79"/>
      <c r="R157" s="79"/>
      <c r="S157" s="79"/>
      <c r="T157" s="79"/>
      <c r="U157" s="79"/>
    </row>
    <row r="158" spans="1:21" s="76" customFormat="1" x14ac:dyDescent="0.2">
      <c r="A158" s="358" t="s">
        <v>439</v>
      </c>
      <c r="B158" s="360"/>
      <c r="C158" s="360"/>
      <c r="D158" s="360"/>
      <c r="E158" s="360"/>
      <c r="F158" s="360"/>
      <c r="G158" s="360"/>
      <c r="H158" s="360"/>
      <c r="I158" s="360"/>
      <c r="N158" s="78"/>
    </row>
    <row r="159" spans="1:21" s="76" customFormat="1" x14ac:dyDescent="0.2">
      <c r="A159" s="358" t="s">
        <v>441</v>
      </c>
      <c r="B159" s="360"/>
      <c r="C159" s="360"/>
      <c r="D159" s="360"/>
      <c r="E159" s="360"/>
      <c r="F159" s="360"/>
      <c r="G159" s="360"/>
      <c r="H159" s="360"/>
      <c r="I159" s="360"/>
      <c r="N159" s="78"/>
    </row>
    <row r="160" spans="1:21" s="76" customFormat="1" x14ac:dyDescent="0.2">
      <c r="A160" s="364" t="s">
        <v>440</v>
      </c>
      <c r="B160" s="360"/>
      <c r="C160" s="360"/>
      <c r="D160" s="360"/>
      <c r="E160" s="360"/>
      <c r="F160" s="360"/>
      <c r="G160" s="360"/>
      <c r="H160" s="360"/>
      <c r="I160" s="360"/>
      <c r="N160" s="78"/>
    </row>
    <row r="161" spans="1:14" s="76" customFormat="1" x14ac:dyDescent="0.2">
      <c r="A161" s="358" t="s">
        <v>442</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445</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447</v>
      </c>
      <c r="B165" s="360"/>
      <c r="C165" s="360"/>
      <c r="D165" s="360"/>
      <c r="E165" s="360"/>
      <c r="F165" s="360"/>
      <c r="G165" s="360"/>
      <c r="H165" s="360"/>
      <c r="I165" s="360"/>
      <c r="N165" s="78"/>
    </row>
    <row r="166" spans="1:14" s="76" customFormat="1" ht="15.75" customHeight="1" x14ac:dyDescent="0.2">
      <c r="A166" s="364" t="s">
        <v>446</v>
      </c>
      <c r="B166" s="360"/>
      <c r="C166" s="360"/>
      <c r="D166" s="360"/>
      <c r="E166" s="360"/>
      <c r="F166" s="360"/>
      <c r="G166" s="360"/>
      <c r="H166" s="360"/>
      <c r="I166" s="360"/>
      <c r="N166" s="78"/>
    </row>
    <row r="167" spans="1:14" s="76" customFormat="1" ht="15.75" customHeight="1" x14ac:dyDescent="0.2">
      <c r="A167" s="358" t="s">
        <v>448</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450</v>
      </c>
      <c r="B169" s="360"/>
      <c r="C169" s="360"/>
      <c r="D169" s="360"/>
      <c r="E169" s="360"/>
      <c r="F169" s="360"/>
      <c r="G169" s="360"/>
      <c r="H169" s="360"/>
      <c r="I169" s="360"/>
      <c r="N169" s="78"/>
    </row>
    <row r="170" spans="1:14" s="76" customFormat="1" ht="15.75" customHeight="1" x14ac:dyDescent="0.2">
      <c r="A170" s="364" t="s">
        <v>449</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451</v>
      </c>
      <c r="B175" s="370"/>
      <c r="C175" s="370"/>
      <c r="D175" s="370"/>
      <c r="E175" s="370"/>
      <c r="F175" s="370"/>
      <c r="G175" s="370"/>
      <c r="H175" s="370"/>
      <c r="I175" s="370"/>
      <c r="J175" s="3"/>
      <c r="K175" s="3"/>
      <c r="L175" s="3"/>
      <c r="M175" s="3"/>
      <c r="N175" s="78"/>
    </row>
    <row r="176" spans="1:14" s="76" customFormat="1" ht="15.75" customHeight="1" x14ac:dyDescent="0.2">
      <c r="A176" s="376" t="s">
        <v>452</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3"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256</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0.5</v>
      </c>
      <c r="D15" s="143">
        <v>0</v>
      </c>
      <c r="E15" s="116">
        <f t="shared" ref="E15:E29" si="1">IF(D$30=0,C15*2,C15+D15)</f>
        <v>1</v>
      </c>
      <c r="F15" s="833">
        <f>'1461'!F15:G15</f>
        <v>1.1180000000000001</v>
      </c>
      <c r="G15" s="833"/>
      <c r="H15" s="80">
        <f t="shared" ref="H15:H29" si="2">ROUND(E15*F15,4)</f>
        <v>1.1180000000000001</v>
      </c>
      <c r="I15" s="101">
        <f t="shared" ref="I15:I29" si="3">ROUND(ROUND(ROUND(H15*$C$8,4)*($H$8),2)*(MAX($H$9,1)),2)</f>
        <v>6203.21</v>
      </c>
      <c r="J15" s="65" t="str">
        <f>IF(ROUND(E15,2)=ROUND(SUM(E57:E59),2)," ","CHECK PK-3 LINES BELOW")</f>
        <v xml:space="preserve"> </v>
      </c>
      <c r="N15" s="834" t="s">
        <v>21</v>
      </c>
      <c r="O15" s="834"/>
      <c r="P15" s="831">
        <f t="shared" si="0"/>
        <v>1</v>
      </c>
      <c r="Q15" s="831"/>
      <c r="R15" s="835">
        <v>1</v>
      </c>
      <c r="S15" s="835"/>
      <c r="T15" s="95">
        <f t="shared" ref="T15:T29" si="4">ROUND(P15*R15,4)</f>
        <v>1</v>
      </c>
      <c r="U15" s="524">
        <f t="shared" ref="U15:U29" si="5">ROUND(ROUND(ROUND(T15*$C$8,4)*($H$8),2)*(MAX($H$9,1)),2)</f>
        <v>5548.48</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0.5</v>
      </c>
      <c r="D17" s="143">
        <v>0</v>
      </c>
      <c r="E17" s="116">
        <f t="shared" si="1"/>
        <v>1</v>
      </c>
      <c r="F17" s="833">
        <f>'1461'!F17:G17</f>
        <v>1</v>
      </c>
      <c r="G17" s="833"/>
      <c r="H17" s="80">
        <f t="shared" si="2"/>
        <v>1</v>
      </c>
      <c r="I17" s="101">
        <f t="shared" si="3"/>
        <v>5548.48</v>
      </c>
      <c r="J17" s="65" t="str">
        <f>IF(ROUND(E17,2)=ROUND(SUM(E60:E62),2)," ","CHECK 4-8 LINES BELOW")</f>
        <v xml:space="preserve"> </v>
      </c>
      <c r="N17" s="834" t="s">
        <v>23</v>
      </c>
      <c r="O17" s="834"/>
      <c r="P17" s="831">
        <f t="shared" si="0"/>
        <v>1</v>
      </c>
      <c r="Q17" s="831"/>
      <c r="R17" s="835">
        <v>1</v>
      </c>
      <c r="S17" s="835"/>
      <c r="T17" s="95">
        <f t="shared" si="4"/>
        <v>1</v>
      </c>
      <c r="U17" s="524">
        <f t="shared" si="5"/>
        <v>5548.48</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30.5</v>
      </c>
      <c r="D20" s="143">
        <v>0</v>
      </c>
      <c r="E20" s="116">
        <f t="shared" si="1"/>
        <v>61</v>
      </c>
      <c r="F20" s="833">
        <f>'1461'!F20:G20</f>
        <v>3.6970000000000001</v>
      </c>
      <c r="G20" s="833"/>
      <c r="H20" s="80">
        <f t="shared" si="2"/>
        <v>225.517</v>
      </c>
      <c r="I20" s="101">
        <f t="shared" si="3"/>
        <v>1251277.46</v>
      </c>
      <c r="N20" s="834" t="s">
        <v>79</v>
      </c>
      <c r="O20" s="834"/>
      <c r="P20" s="831">
        <f t="shared" si="0"/>
        <v>61</v>
      </c>
      <c r="Q20" s="831"/>
      <c r="R20" s="835">
        <v>1</v>
      </c>
      <c r="S20" s="835"/>
      <c r="T20" s="95">
        <f t="shared" si="4"/>
        <v>61</v>
      </c>
      <c r="U20" s="524">
        <f t="shared" si="5"/>
        <v>338457.52</v>
      </c>
    </row>
    <row r="21" spans="1:21" x14ac:dyDescent="0.25">
      <c r="A21" s="788" t="s">
        <v>80</v>
      </c>
      <c r="B21" s="788"/>
      <c r="C21" s="143">
        <v>29</v>
      </c>
      <c r="D21" s="143">
        <v>0</v>
      </c>
      <c r="E21" s="116">
        <f t="shared" si="1"/>
        <v>58</v>
      </c>
      <c r="F21" s="833">
        <f>'1461'!F21:G21</f>
        <v>3.6970000000000001</v>
      </c>
      <c r="G21" s="833"/>
      <c r="H21" s="80">
        <f t="shared" si="2"/>
        <v>214.42599999999999</v>
      </c>
      <c r="I21" s="101">
        <f t="shared" si="3"/>
        <v>1189739.23</v>
      </c>
      <c r="N21" s="834" t="s">
        <v>80</v>
      </c>
      <c r="O21" s="834"/>
      <c r="P21" s="831">
        <f t="shared" si="0"/>
        <v>58</v>
      </c>
      <c r="Q21" s="831"/>
      <c r="R21" s="835">
        <v>1</v>
      </c>
      <c r="S21" s="835"/>
      <c r="T21" s="95">
        <f t="shared" si="4"/>
        <v>58</v>
      </c>
      <c r="U21" s="524">
        <f t="shared" si="5"/>
        <v>321812.07</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10.5</v>
      </c>
      <c r="D23" s="143">
        <v>0</v>
      </c>
      <c r="E23" s="116">
        <f t="shared" si="1"/>
        <v>21</v>
      </c>
      <c r="F23" s="833">
        <f>'1461'!F23:G23</f>
        <v>5.992</v>
      </c>
      <c r="G23" s="833"/>
      <c r="H23" s="80">
        <f t="shared" si="2"/>
        <v>125.83199999999999</v>
      </c>
      <c r="I23" s="101">
        <f t="shared" si="3"/>
        <v>698176.84</v>
      </c>
      <c r="N23" s="834" t="s">
        <v>82</v>
      </c>
      <c r="O23" s="834"/>
      <c r="P23" s="831">
        <f t="shared" si="0"/>
        <v>21</v>
      </c>
      <c r="Q23" s="831"/>
      <c r="R23" s="835">
        <v>1</v>
      </c>
      <c r="S23" s="835"/>
      <c r="T23" s="95">
        <f t="shared" si="4"/>
        <v>21</v>
      </c>
      <c r="U23" s="524">
        <f t="shared" si="5"/>
        <v>116518.16</v>
      </c>
    </row>
    <row r="24" spans="1:21" x14ac:dyDescent="0.25">
      <c r="A24" s="788" t="s">
        <v>83</v>
      </c>
      <c r="B24" s="788"/>
      <c r="C24" s="143">
        <v>11</v>
      </c>
      <c r="D24" s="143">
        <v>0</v>
      </c>
      <c r="E24" s="116">
        <f t="shared" si="1"/>
        <v>22</v>
      </c>
      <c r="F24" s="833">
        <f>'1461'!F24:G24</f>
        <v>5.992</v>
      </c>
      <c r="G24" s="833"/>
      <c r="H24" s="80">
        <f t="shared" si="2"/>
        <v>131.82400000000001</v>
      </c>
      <c r="I24" s="101">
        <f t="shared" si="3"/>
        <v>731423.35</v>
      </c>
      <c r="N24" s="834" t="s">
        <v>83</v>
      </c>
      <c r="O24" s="834"/>
      <c r="P24" s="831">
        <f t="shared" si="0"/>
        <v>22</v>
      </c>
      <c r="Q24" s="831"/>
      <c r="R24" s="835">
        <v>1</v>
      </c>
      <c r="S24" s="835"/>
      <c r="T24" s="95">
        <f t="shared" si="4"/>
        <v>22</v>
      </c>
      <c r="U24" s="524">
        <f t="shared" si="5"/>
        <v>122066.65</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82</v>
      </c>
      <c r="D30" s="94">
        <f>SUM(D14:D29)</f>
        <v>0</v>
      </c>
      <c r="E30" s="94">
        <f>SUM(E14:E29)</f>
        <v>164</v>
      </c>
      <c r="F30" s="792"/>
      <c r="G30" s="792"/>
      <c r="H30" s="99">
        <f>SUM(H14:H29)</f>
        <v>699.7170000000001</v>
      </c>
      <c r="I30" s="94">
        <f>SUM(I14:I29)</f>
        <v>3882368.57</v>
      </c>
      <c r="N30" s="838" t="s">
        <v>5</v>
      </c>
      <c r="O30" s="838"/>
      <c r="P30" s="839">
        <f>SUM(P14:P29)</f>
        <v>164</v>
      </c>
      <c r="Q30" s="839"/>
      <c r="R30" s="840"/>
      <c r="S30" s="840"/>
      <c r="T30" s="100">
        <f>SUM(T14:T29)</f>
        <v>164</v>
      </c>
      <c r="U30" s="524">
        <f>SUM(U14:U29)</f>
        <v>909951.3600000001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699.7170000000001</v>
      </c>
      <c r="F46" s="34"/>
      <c r="G46" s="106"/>
      <c r="H46" s="107" t="s">
        <v>98</v>
      </c>
      <c r="I46" s="94">
        <f>SUM(I44,I30)</f>
        <v>3882368.57</v>
      </c>
      <c r="N46" s="846" t="s">
        <v>44</v>
      </c>
      <c r="O46" s="846"/>
      <c r="P46" s="846"/>
      <c r="Q46" s="846"/>
      <c r="R46" s="35">
        <f>R44+T30</f>
        <v>164</v>
      </c>
      <c r="S46" s="840" t="s">
        <v>42</v>
      </c>
      <c r="T46" s="840"/>
      <c r="U46" s="108">
        <f>SUM(U44,U30)</f>
        <v>909951.3600000001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3280803.5900000003</v>
      </c>
      <c r="G51" s="109" t="s">
        <v>6</v>
      </c>
      <c r="H51" s="453">
        <v>5.5899999999999998E-2</v>
      </c>
      <c r="I51" s="101">
        <f>ROUND(F51*H51,2)</f>
        <v>183396.92</v>
      </c>
      <c r="N51" s="458"/>
      <c r="O51" s="459" t="s">
        <v>576</v>
      </c>
      <c r="P51" s="28"/>
      <c r="Q51" s="44" t="s">
        <v>461</v>
      </c>
      <c r="R51" s="460">
        <f>U30</f>
        <v>909951.3600000001</v>
      </c>
      <c r="S51" s="461" t="s">
        <v>6</v>
      </c>
      <c r="T51" s="462">
        <v>5.5899999999999998E-2</v>
      </c>
      <c r="U51" s="454">
        <f>ROUND(R51*T51,2)</f>
        <v>50866.28</v>
      </c>
    </row>
    <row r="52" spans="1:22" x14ac:dyDescent="0.25">
      <c r="A52" s="26"/>
      <c r="B52" s="618" t="s">
        <v>580</v>
      </c>
      <c r="C52" s="26"/>
      <c r="D52" s="26"/>
      <c r="E52" s="43" t="s">
        <v>461</v>
      </c>
      <c r="F52" s="452">
        <v>3280803.5900000003</v>
      </c>
      <c r="G52" s="109" t="s">
        <v>6</v>
      </c>
      <c r="H52" s="453">
        <v>1.0699999999999999E-2</v>
      </c>
      <c r="I52" s="101">
        <f>ROUND(F52*H52,2)</f>
        <v>35104.6</v>
      </c>
      <c r="N52" s="28"/>
      <c r="O52" s="619" t="s">
        <v>579</v>
      </c>
      <c r="P52" s="28"/>
      <c r="Q52" s="44" t="s">
        <v>461</v>
      </c>
      <c r="R52" s="460">
        <f>U30</f>
        <v>909951.3600000001</v>
      </c>
      <c r="S52" s="461" t="s">
        <v>6</v>
      </c>
      <c r="T52" s="462">
        <v>1.0699999999999999E-2</v>
      </c>
      <c r="U52" s="463">
        <f>ROUND(R52*T52,2)</f>
        <v>9736.48</v>
      </c>
    </row>
    <row r="53" spans="1:22" x14ac:dyDescent="0.25">
      <c r="A53" s="26"/>
      <c r="B53" s="81" t="s">
        <v>462</v>
      </c>
      <c r="C53" s="26"/>
      <c r="D53" s="26"/>
      <c r="E53" s="43"/>
      <c r="F53" s="452"/>
      <c r="G53" s="109"/>
      <c r="H53" s="453"/>
      <c r="I53" s="97">
        <f>SUM(I51:I52)</f>
        <v>218501.52000000002</v>
      </c>
      <c r="N53" s="28"/>
      <c r="O53" s="435" t="s">
        <v>462</v>
      </c>
      <c r="P53" s="28"/>
      <c r="Q53" s="44"/>
      <c r="R53" s="460"/>
      <c r="S53" s="461"/>
      <c r="T53" s="462"/>
      <c r="U53" s="454">
        <f>SUM(U51:U52)</f>
        <v>60602.759999999995</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IF(D$72=0,C57*2,C57+D57)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0.5</v>
      </c>
      <c r="D59" s="143">
        <v>0</v>
      </c>
      <c r="E59" s="116">
        <f>IF(D$66=0,C59*2,C59+D59)</f>
        <v>1</v>
      </c>
      <c r="F59" s="494" t="s">
        <v>498</v>
      </c>
      <c r="G59" s="494">
        <v>253</v>
      </c>
      <c r="H59" s="508">
        <f>'1461'!H59</f>
        <v>6896</v>
      </c>
      <c r="I59" s="101">
        <f t="shared" si="11"/>
        <v>6896</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IF(D$66=0,C60*2,C60+D60)</f>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0.5</v>
      </c>
      <c r="D61" s="143">
        <v>0</v>
      </c>
      <c r="E61" s="116">
        <f>IF(D$66=0,C61*2,C61+D61)</f>
        <v>1</v>
      </c>
      <c r="F61" s="495" t="s">
        <v>13</v>
      </c>
      <c r="G61" s="494">
        <v>252</v>
      </c>
      <c r="H61" s="508">
        <f>'1461'!H61</f>
        <v>3506</v>
      </c>
      <c r="I61" s="101">
        <f t="shared" si="11"/>
        <v>3506</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IF(D$66=0,C62*2,C62+D62)</f>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1</v>
      </c>
      <c r="D66" s="97">
        <f>SUM(D57:D65)</f>
        <v>0</v>
      </c>
      <c r="E66" s="97">
        <f>SUM(E57:E65)</f>
        <v>2</v>
      </c>
      <c r="F66" s="800" t="s">
        <v>507</v>
      </c>
      <c r="G66" s="800"/>
      <c r="H66" s="800"/>
      <c r="I66" s="97">
        <f>SUM(I57:I65)</f>
        <v>10402</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164</v>
      </c>
      <c r="D69" s="775" t="s">
        <v>474</v>
      </c>
      <c r="E69" s="775"/>
      <c r="F69" s="775"/>
      <c r="G69" s="775"/>
      <c r="H69" s="299">
        <f>'1461'!H69</f>
        <v>210935.24</v>
      </c>
      <c r="I69" s="113"/>
      <c r="N69" s="853" t="s">
        <v>467</v>
      </c>
      <c r="O69" s="834"/>
      <c r="P69" s="41">
        <f>P30</f>
        <v>164</v>
      </c>
      <c r="Q69" s="854" t="s">
        <v>469</v>
      </c>
      <c r="R69" s="855"/>
      <c r="S69" s="855"/>
      <c r="T69" s="856">
        <f>H69</f>
        <v>210935.24</v>
      </c>
      <c r="U69" s="856"/>
    </row>
    <row r="70" spans="1:22" x14ac:dyDescent="0.25">
      <c r="B70" s="69"/>
      <c r="G70" s="42" t="s">
        <v>12</v>
      </c>
      <c r="H70" s="114">
        <f>ROUND(C69/H69,6)</f>
        <v>7.7700000000000002E-4</v>
      </c>
      <c r="I70" s="115"/>
      <c r="N70" s="834"/>
      <c r="O70" s="834"/>
      <c r="P70" s="834"/>
      <c r="Q70" s="834"/>
      <c r="R70" s="834"/>
      <c r="S70" s="834"/>
      <c r="T70" s="852">
        <f>ROUND(P69/T69,6)</f>
        <v>7.7700000000000002E-4</v>
      </c>
      <c r="U70" s="852"/>
    </row>
    <row r="71" spans="1:22" x14ac:dyDescent="0.25">
      <c r="A71" s="493" t="s">
        <v>510</v>
      </c>
      <c r="N71" s="504" t="s">
        <v>518</v>
      </c>
      <c r="O71" s="51"/>
      <c r="P71" s="51"/>
      <c r="Q71" s="51"/>
      <c r="R71" s="51"/>
      <c r="S71" s="51"/>
      <c r="T71" s="51"/>
      <c r="U71" s="51"/>
    </row>
    <row r="72" spans="1:22" x14ac:dyDescent="0.25">
      <c r="A72" s="794" t="s">
        <v>464</v>
      </c>
      <c r="B72" s="788"/>
      <c r="C72" s="112">
        <f>H30</f>
        <v>699.7170000000001</v>
      </c>
      <c r="D72" s="775" t="s">
        <v>475</v>
      </c>
      <c r="E72" s="775"/>
      <c r="F72" s="775"/>
      <c r="G72" s="775"/>
      <c r="H72" s="300">
        <f>'1461'!H72</f>
        <v>237601.62</v>
      </c>
      <c r="I72" s="116"/>
      <c r="N72" s="853" t="s">
        <v>468</v>
      </c>
      <c r="O72" s="834"/>
      <c r="P72" s="41">
        <f>T30</f>
        <v>164</v>
      </c>
      <c r="Q72" s="854" t="s">
        <v>470</v>
      </c>
      <c r="R72" s="855"/>
      <c r="S72" s="855"/>
      <c r="T72" s="856">
        <f>H72</f>
        <v>237601.62</v>
      </c>
      <c r="U72" s="856"/>
    </row>
    <row r="73" spans="1:22" x14ac:dyDescent="0.25">
      <c r="G73" s="42" t="s">
        <v>12</v>
      </c>
      <c r="H73" s="114">
        <f>ROUND(C72/H72,6)</f>
        <v>2.9450000000000001E-3</v>
      </c>
      <c r="I73" s="114"/>
      <c r="N73" s="834"/>
      <c r="O73" s="834"/>
      <c r="P73" s="834"/>
      <c r="Q73" s="834"/>
      <c r="R73" s="834"/>
      <c r="S73" s="834"/>
      <c r="T73" s="852">
        <f>ROUND(P72/T72,6)</f>
        <v>6.8999999999999997E-4</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164</v>
      </c>
      <c r="D75" s="767" t="s">
        <v>476</v>
      </c>
      <c r="E75" s="767"/>
      <c r="F75" s="767"/>
      <c r="G75" s="767"/>
      <c r="H75" s="299">
        <f>'1461'!H75</f>
        <v>186826.74</v>
      </c>
      <c r="I75" s="113"/>
      <c r="N75" s="853" t="s">
        <v>466</v>
      </c>
      <c r="O75" s="834"/>
      <c r="P75" s="41">
        <f>P30</f>
        <v>164</v>
      </c>
      <c r="Q75" s="861" t="s">
        <v>471</v>
      </c>
      <c r="R75" s="862"/>
      <c r="S75" s="862"/>
      <c r="T75" s="856">
        <f>H75</f>
        <v>186826.74</v>
      </c>
      <c r="U75" s="856"/>
    </row>
    <row r="76" spans="1:22" x14ac:dyDescent="0.25">
      <c r="B76" s="69"/>
      <c r="G76" s="42" t="s">
        <v>12</v>
      </c>
      <c r="H76" s="114">
        <f>ROUND(C75/H75,6)</f>
        <v>8.7799999999999998E-4</v>
      </c>
      <c r="I76" s="115"/>
      <c r="N76" s="834"/>
      <c r="O76" s="834"/>
      <c r="P76" s="834"/>
      <c r="Q76" s="834"/>
      <c r="R76" s="834"/>
      <c r="S76" s="834"/>
      <c r="T76" s="852">
        <f>ROUND(P75/T75,6)</f>
        <v>8.7799999999999998E-4</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164</v>
      </c>
      <c r="D78" s="795" t="s">
        <v>477</v>
      </c>
      <c r="E78" s="795"/>
      <c r="F78" s="795"/>
      <c r="G78" s="795"/>
      <c r="H78" s="299">
        <f>'1461'!H78</f>
        <v>210630.63</v>
      </c>
      <c r="I78" s="113"/>
      <c r="N78" s="853" t="s">
        <v>466</v>
      </c>
      <c r="O78" s="834"/>
      <c r="P78" s="41">
        <f>P30</f>
        <v>164</v>
      </c>
      <c r="Q78" s="859" t="s">
        <v>472</v>
      </c>
      <c r="R78" s="860"/>
      <c r="S78" s="860"/>
      <c r="T78" s="856">
        <f>H78</f>
        <v>210630.63</v>
      </c>
      <c r="U78" s="856"/>
    </row>
    <row r="79" spans="1:22" x14ac:dyDescent="0.25">
      <c r="B79" s="69"/>
      <c r="G79" s="42" t="s">
        <v>12</v>
      </c>
      <c r="H79" s="114">
        <f>ROUND(C78/H78,6)</f>
        <v>7.7899999999999996E-4</v>
      </c>
      <c r="I79" s="115"/>
      <c r="N79" s="834"/>
      <c r="O79" s="834"/>
      <c r="P79" s="834"/>
      <c r="Q79" s="834"/>
      <c r="R79" s="834"/>
      <c r="S79" s="834"/>
      <c r="T79" s="852">
        <f>ROUND(P78/T78,6)</f>
        <v>7.7899999999999996E-4</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164</v>
      </c>
      <c r="D81" s="767" t="s">
        <v>478</v>
      </c>
      <c r="E81" s="767"/>
      <c r="F81" s="767"/>
      <c r="G81" s="767"/>
      <c r="H81" s="299">
        <f>'1461'!H81</f>
        <v>186522.13</v>
      </c>
      <c r="I81" s="113"/>
      <c r="N81" s="853" t="s">
        <v>479</v>
      </c>
      <c r="O81" s="834"/>
      <c r="P81" s="41">
        <f>P30</f>
        <v>164</v>
      </c>
      <c r="Q81" s="861" t="s">
        <v>480</v>
      </c>
      <c r="R81" s="862"/>
      <c r="S81" s="862"/>
      <c r="T81" s="856">
        <f>H81</f>
        <v>186522.13</v>
      </c>
      <c r="U81" s="856"/>
    </row>
    <row r="82" spans="1:21" x14ac:dyDescent="0.25">
      <c r="B82" s="69"/>
      <c r="G82" s="42" t="s">
        <v>12</v>
      </c>
      <c r="H82" s="114">
        <f>ROUND(C81/H81,6)</f>
        <v>8.7900000000000001E-4</v>
      </c>
      <c r="I82" s="115"/>
      <c r="N82" s="834"/>
      <c r="O82" s="834"/>
      <c r="P82" s="834"/>
      <c r="Q82" s="834"/>
      <c r="R82" s="834"/>
      <c r="S82" s="834"/>
      <c r="T82" s="852">
        <f>ROUND(P81/T81,6)</f>
        <v>8.7900000000000001E-4</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7.7899999999999996E-4</v>
      </c>
      <c r="I85" s="101">
        <f>ROUND(F85*H85,2)</f>
        <v>36069.040000000001</v>
      </c>
      <c r="N85" s="504" t="s">
        <v>514</v>
      </c>
      <c r="O85" s="51"/>
      <c r="P85" s="51"/>
      <c r="Q85" s="44"/>
      <c r="R85" s="470">
        <f>F85</f>
        <v>46301717</v>
      </c>
      <c r="S85" s="38" t="s">
        <v>6</v>
      </c>
      <c r="T85" s="472">
        <f>T79</f>
        <v>7.7899999999999996E-4</v>
      </c>
      <c r="U85" s="524">
        <f>ROUND(R85*T85,2)</f>
        <v>36069.040000000001</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7.7700000000000002E-4</v>
      </c>
      <c r="I88" s="101">
        <f>ROUND(F88*H88,2)</f>
        <v>0</v>
      </c>
      <c r="N88" s="863" t="s">
        <v>99</v>
      </c>
      <c r="O88" s="834"/>
      <c r="P88" s="834"/>
      <c r="Q88" s="44"/>
      <c r="R88" s="470">
        <f>F88</f>
        <v>0</v>
      </c>
      <c r="S88" s="38" t="s">
        <v>6</v>
      </c>
      <c r="T88" s="472">
        <f>T70</f>
        <v>7.7700000000000002E-4</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8.7900000000000001E-4</v>
      </c>
      <c r="I90" s="101">
        <f>ROUND(F90*H90,2)</f>
        <v>16811.66</v>
      </c>
      <c r="N90" s="504" t="s">
        <v>515</v>
      </c>
      <c r="O90" s="51"/>
      <c r="P90" s="51"/>
      <c r="Q90" s="44"/>
      <c r="R90" s="470">
        <f>F90</f>
        <v>19125890</v>
      </c>
      <c r="S90" s="38" t="s">
        <v>6</v>
      </c>
      <c r="T90" s="472">
        <f>T82</f>
        <v>8.7900000000000001E-4</v>
      </c>
      <c r="U90" s="524">
        <f>ROUND(R90*T90,2)</f>
        <v>16811.66</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8.7799999999999998E-4</v>
      </c>
      <c r="I92" s="101">
        <f t="shared" ref="I92:I96" si="14">ROUND(F92*H92,2)</f>
        <v>10106.98</v>
      </c>
      <c r="N92" s="504" t="s">
        <v>516</v>
      </c>
      <c r="O92" s="51"/>
      <c r="P92" s="51"/>
      <c r="Q92" s="44"/>
      <c r="R92" s="470">
        <f t="shared" ref="R92:R96" si="15">F92</f>
        <v>11511363</v>
      </c>
      <c r="S92" s="38" t="s">
        <v>6</v>
      </c>
      <c r="T92" s="472">
        <f>T76</f>
        <v>8.7799999999999998E-4</v>
      </c>
      <c r="U92" s="524">
        <f>ROUND(R92*T92,2)</f>
        <v>10106.98</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2.9450000000000001E-3</v>
      </c>
      <c r="I94" s="101">
        <f t="shared" si="14"/>
        <v>753203.82</v>
      </c>
      <c r="N94" s="834" t="s">
        <v>482</v>
      </c>
      <c r="O94" s="834"/>
      <c r="P94" s="834"/>
      <c r="Q94" s="44"/>
      <c r="R94" s="470">
        <f t="shared" si="15"/>
        <v>255756816</v>
      </c>
      <c r="S94" s="38" t="s">
        <v>6</v>
      </c>
      <c r="T94" s="472">
        <f>T73</f>
        <v>6.8999999999999997E-4</v>
      </c>
      <c r="U94" s="524">
        <f>ROUND(R94*T94,2)</f>
        <v>176472.2</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2.9450000000000001E-3</v>
      </c>
      <c r="I96" s="101">
        <f t="shared" si="14"/>
        <v>-45482.74</v>
      </c>
      <c r="N96" s="853" t="s">
        <v>483</v>
      </c>
      <c r="O96" s="834"/>
      <c r="P96" s="834"/>
      <c r="Q96" s="44"/>
      <c r="R96" s="470">
        <f t="shared" si="15"/>
        <v>-15444055</v>
      </c>
      <c r="S96" s="38" t="s">
        <v>6</v>
      </c>
      <c r="T96" s="472">
        <f>T73</f>
        <v>6.8999999999999997E-4</v>
      </c>
      <c r="U96" s="524">
        <f>ROUND(R96*T96,2)</f>
        <v>-10656.4</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7.7700000000000002E-4</v>
      </c>
      <c r="I98" s="101">
        <f t="shared" ref="I98" si="16">ROUND(F98*H98,2)</f>
        <v>4367.8500000000004</v>
      </c>
      <c r="N98" s="587" t="s">
        <v>556</v>
      </c>
      <c r="O98" s="587"/>
      <c r="P98" s="587"/>
      <c r="Q98" s="44"/>
      <c r="R98" s="590">
        <f>F98</f>
        <v>5621424</v>
      </c>
      <c r="S98" s="588" t="s">
        <v>6</v>
      </c>
      <c r="T98" s="472">
        <f>T70</f>
        <v>7.7700000000000002E-4</v>
      </c>
      <c r="U98" s="524">
        <f>ROUND(R98*T98,2)</f>
        <v>4367.8500000000004</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352.46699999999998</v>
      </c>
      <c r="D104" s="806"/>
      <c r="E104" s="46">
        <f>H8</f>
        <v>1.0407999999999999</v>
      </c>
      <c r="F104" s="302">
        <f>'1461'!F104</f>
        <v>950.92</v>
      </c>
      <c r="G104" s="39" t="s">
        <v>12</v>
      </c>
      <c r="H104" s="101">
        <f>ROUND(C104*E104*F104,2)</f>
        <v>348842.77</v>
      </c>
      <c r="I104" s="104"/>
      <c r="N104" s="28" t="s">
        <v>17</v>
      </c>
      <c r="O104" s="47">
        <f>T14+T15+T20+T23+T26</f>
        <v>83</v>
      </c>
      <c r="P104" s="864">
        <f>T8</f>
        <v>1.0407999999999999</v>
      </c>
      <c r="Q104" s="864"/>
      <c r="R104" s="48">
        <f>F104</f>
        <v>950.92</v>
      </c>
      <c r="S104" s="40" t="s">
        <v>12</v>
      </c>
      <c r="T104" s="530">
        <f>ROUND(O104*P104*R104,2)</f>
        <v>82146.559999999998</v>
      </c>
      <c r="U104" s="102"/>
    </row>
    <row r="105" spans="1:21" x14ac:dyDescent="0.25">
      <c r="A105" s="49"/>
      <c r="B105" s="49" t="s">
        <v>104</v>
      </c>
      <c r="C105" s="806">
        <f>H16+H17+H21+H24+H27</f>
        <v>347.25</v>
      </c>
      <c r="D105" s="806"/>
      <c r="E105" s="46">
        <f>H8</f>
        <v>1.0407999999999999</v>
      </c>
      <c r="F105" s="302">
        <f>'1461'!F105</f>
        <v>907.92</v>
      </c>
      <c r="G105" s="39" t="s">
        <v>12</v>
      </c>
      <c r="H105" s="101">
        <f>ROUND(C105*E105*F105,2)</f>
        <v>328138.45</v>
      </c>
      <c r="N105" s="50" t="s">
        <v>13</v>
      </c>
      <c r="O105" s="47">
        <f>T16+T17+T21+T24+T27</f>
        <v>81</v>
      </c>
      <c r="P105" s="864">
        <f>T8</f>
        <v>1.0407999999999999</v>
      </c>
      <c r="Q105" s="864"/>
      <c r="R105" s="48">
        <f>F105</f>
        <v>907.92</v>
      </c>
      <c r="S105" s="40" t="s">
        <v>12</v>
      </c>
      <c r="T105" s="530">
        <f>ROUND(O105*P105*R105,2)</f>
        <v>76542.009999999995</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699.71699999999998</v>
      </c>
      <c r="D107" s="796"/>
      <c r="E107" s="123"/>
      <c r="F107" s="123"/>
      <c r="G107" s="123"/>
      <c r="H107" s="124" t="s">
        <v>100</v>
      </c>
      <c r="I107" s="101">
        <f>IF(A1=75,0,H106+H105+H104)</f>
        <v>676981.22</v>
      </c>
      <c r="N107" s="56" t="s">
        <v>89</v>
      </c>
      <c r="O107" s="57">
        <f>SUM(O104:O106)</f>
        <v>164</v>
      </c>
      <c r="P107" s="870" t="s">
        <v>16</v>
      </c>
      <c r="Q107" s="871"/>
      <c r="R107" s="871"/>
      <c r="S107" s="871"/>
      <c r="T107" s="871"/>
      <c r="U107" s="524">
        <f>IF(N1=75,0,T106+T105+T104)</f>
        <v>158688.57</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5344828.3999999994</v>
      </c>
      <c r="N128" s="504"/>
      <c r="O128" s="503"/>
      <c r="P128" s="503"/>
      <c r="Q128" s="305"/>
      <c r="R128" s="305"/>
      <c r="S128" s="305"/>
      <c r="T128" s="305"/>
      <c r="U128" s="531">
        <f>SUM(U30,U85,U88,U90,U92,U94,U96,U107,U113,U114,U124,U126)</f>
        <v>1297443.4100000004</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5126326.879999999</v>
      </c>
      <c r="N130" s="853" t="s">
        <v>494</v>
      </c>
      <c r="O130" s="834"/>
      <c r="P130" s="834"/>
      <c r="Q130" s="834"/>
      <c r="R130" s="834"/>
      <c r="S130" s="834"/>
      <c r="T130" s="834"/>
      <c r="U130" s="132">
        <f>U128-U53</f>
        <v>1236840.6500000004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f>IF(E30=0,"",IF((E15+E17+SUM(E19:E25))/E30&gt;0.75,1,""))</f>
        <v>1</v>
      </c>
      <c r="I133" s="116">
        <f>U130</f>
        <v>1236840.6500000004</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1236840.6500000004</v>
      </c>
      <c r="I135" s="94">
        <f>ROUND(IF(E30=0,0,IF(E30&gt;250,-(((250/E30)*H135)*IF(G135="H",0.02,0.05)),IF(G135="H",-0.02*H135,-0.05*H135))),2)</f>
        <v>-61842.03</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5282986.3699999992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Payments'!Q76</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5282986.3699999992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440248.86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434</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435</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436</v>
      </c>
      <c r="B155" s="360"/>
      <c r="C155" s="360"/>
      <c r="D155" s="360"/>
      <c r="E155" s="360"/>
      <c r="F155" s="360"/>
      <c r="G155" s="360"/>
      <c r="H155" s="360"/>
      <c r="I155" s="360"/>
      <c r="N155" s="879"/>
      <c r="O155" s="879"/>
      <c r="P155" s="879"/>
      <c r="Q155" s="879"/>
      <c r="R155" s="879"/>
      <c r="S155" s="879"/>
      <c r="T155" s="879"/>
      <c r="U155" s="879"/>
    </row>
    <row r="156" spans="1:21" s="76" customFormat="1" x14ac:dyDescent="0.2">
      <c r="A156" s="358" t="s">
        <v>437</v>
      </c>
      <c r="B156" s="360"/>
      <c r="C156" s="360"/>
      <c r="D156" s="360"/>
      <c r="E156" s="360"/>
      <c r="F156" s="360"/>
      <c r="G156" s="360"/>
      <c r="H156" s="360"/>
      <c r="I156" s="360"/>
      <c r="N156" s="73"/>
      <c r="O156" s="73"/>
      <c r="P156" s="73"/>
      <c r="Q156" s="73"/>
      <c r="R156" s="73"/>
      <c r="S156" s="73"/>
      <c r="T156" s="73"/>
      <c r="U156" s="73"/>
    </row>
    <row r="157" spans="1:21" s="76" customFormat="1" x14ac:dyDescent="0.2">
      <c r="A157" s="358" t="s">
        <v>438</v>
      </c>
      <c r="B157" s="360"/>
      <c r="C157" s="360"/>
      <c r="D157" s="360"/>
      <c r="E157" s="360"/>
      <c r="F157" s="360"/>
      <c r="G157" s="360"/>
      <c r="H157" s="360"/>
      <c r="I157" s="360"/>
      <c r="N157" s="78"/>
      <c r="O157" s="79"/>
      <c r="P157" s="79"/>
      <c r="Q157" s="79"/>
      <c r="R157" s="79"/>
      <c r="S157" s="79"/>
      <c r="T157" s="79"/>
      <c r="U157" s="79"/>
    </row>
    <row r="158" spans="1:21" s="76" customFormat="1" x14ac:dyDescent="0.2">
      <c r="A158" s="358" t="s">
        <v>439</v>
      </c>
      <c r="B158" s="360"/>
      <c r="C158" s="360"/>
      <c r="D158" s="360"/>
      <c r="E158" s="360"/>
      <c r="F158" s="360"/>
      <c r="G158" s="360"/>
      <c r="H158" s="360"/>
      <c r="I158" s="360"/>
      <c r="N158" s="78"/>
    </row>
    <row r="159" spans="1:21" s="76" customFormat="1" x14ac:dyDescent="0.2">
      <c r="A159" s="358" t="s">
        <v>441</v>
      </c>
      <c r="B159" s="360"/>
      <c r="C159" s="360"/>
      <c r="D159" s="360"/>
      <c r="E159" s="360"/>
      <c r="F159" s="360"/>
      <c r="G159" s="360"/>
      <c r="H159" s="360"/>
      <c r="I159" s="360"/>
      <c r="N159" s="78"/>
    </row>
    <row r="160" spans="1:21" s="76" customFormat="1" x14ac:dyDescent="0.2">
      <c r="A160" s="364" t="s">
        <v>440</v>
      </c>
      <c r="B160" s="360"/>
      <c r="C160" s="360"/>
      <c r="D160" s="360"/>
      <c r="E160" s="360"/>
      <c r="F160" s="360"/>
      <c r="G160" s="360"/>
      <c r="H160" s="360"/>
      <c r="I160" s="360"/>
      <c r="N160" s="78"/>
    </row>
    <row r="161" spans="1:14" s="76" customFormat="1" x14ac:dyDescent="0.2">
      <c r="A161" s="358" t="s">
        <v>442</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445</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447</v>
      </c>
      <c r="B165" s="360"/>
      <c r="C165" s="360"/>
      <c r="D165" s="360"/>
      <c r="E165" s="360"/>
      <c r="F165" s="360"/>
      <c r="G165" s="360"/>
      <c r="H165" s="360"/>
      <c r="I165" s="360"/>
      <c r="N165" s="78"/>
    </row>
    <row r="166" spans="1:14" s="76" customFormat="1" ht="15.75" customHeight="1" x14ac:dyDescent="0.2">
      <c r="A166" s="364" t="s">
        <v>446</v>
      </c>
      <c r="B166" s="360"/>
      <c r="C166" s="360"/>
      <c r="D166" s="360"/>
      <c r="E166" s="360"/>
      <c r="F166" s="360"/>
      <c r="G166" s="360"/>
      <c r="H166" s="360"/>
      <c r="I166" s="360"/>
      <c r="N166" s="78"/>
    </row>
    <row r="167" spans="1:14" s="76" customFormat="1" ht="15.75" customHeight="1" x14ac:dyDescent="0.2">
      <c r="A167" s="358" t="s">
        <v>448</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450</v>
      </c>
      <c r="B169" s="360"/>
      <c r="C169" s="360"/>
      <c r="D169" s="360"/>
      <c r="E169" s="360"/>
      <c r="F169" s="360"/>
      <c r="G169" s="360"/>
      <c r="H169" s="360"/>
      <c r="I169" s="360"/>
      <c r="N169" s="78"/>
    </row>
    <row r="170" spans="1:14" s="76" customFormat="1" ht="15.75" customHeight="1" x14ac:dyDescent="0.2">
      <c r="A170" s="364" t="s">
        <v>449</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451</v>
      </c>
      <c r="B175" s="370"/>
      <c r="C175" s="370"/>
      <c r="D175" s="370"/>
      <c r="E175" s="370"/>
      <c r="F175" s="370"/>
      <c r="G175" s="370"/>
      <c r="H175" s="370"/>
      <c r="I175" s="370"/>
      <c r="J175" s="3"/>
      <c r="K175" s="3"/>
      <c r="L175" s="3"/>
      <c r="M175" s="3"/>
      <c r="N175" s="78"/>
    </row>
    <row r="176" spans="1:14" s="76" customFormat="1" ht="15.75" customHeight="1" x14ac:dyDescent="0.2">
      <c r="A176" s="376" t="s">
        <v>452</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425</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120.12</v>
      </c>
      <c r="D14" s="141">
        <v>0</v>
      </c>
      <c r="E14" s="187">
        <f>IF(D$30=0,C14*2,C14+D14)</f>
        <v>240.24</v>
      </c>
      <c r="F14" s="829">
        <f>'1461'!F14:G14</f>
        <v>1.1180000000000001</v>
      </c>
      <c r="G14" s="829"/>
      <c r="H14" s="145">
        <f>ROUND(E14*F14,4)</f>
        <v>268.5883</v>
      </c>
      <c r="I14" s="111">
        <f>ROUND(ROUND(ROUND(H14*$C$8,4)*($H$8),2)*(MAX($H$9,1)),2)</f>
        <v>1490257.88</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27</v>
      </c>
      <c r="D15" s="143">
        <v>0</v>
      </c>
      <c r="E15" s="116">
        <f t="shared" ref="E15:E29" si="1">IF(D$30=0,C15*2,C15+D15)</f>
        <v>54</v>
      </c>
      <c r="F15" s="833">
        <f>'1461'!F15:G15</f>
        <v>1.1180000000000001</v>
      </c>
      <c r="G15" s="833"/>
      <c r="H15" s="80">
        <f t="shared" ref="H15:H29" si="2">ROUND(E15*F15,4)</f>
        <v>60.372</v>
      </c>
      <c r="I15" s="101">
        <f t="shared" ref="I15:I29" si="3">ROUND(ROUND(ROUND(H15*$C$8,4)*($H$8),2)*(MAX($H$9,1)),2)</f>
        <v>334973.08</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54.89</v>
      </c>
      <c r="D16" s="143">
        <v>0</v>
      </c>
      <c r="E16" s="116">
        <f t="shared" si="1"/>
        <v>109.78</v>
      </c>
      <c r="F16" s="833">
        <f>'1461'!F16:G16</f>
        <v>1</v>
      </c>
      <c r="G16" s="833"/>
      <c r="H16" s="80">
        <f t="shared" si="2"/>
        <v>109.78</v>
      </c>
      <c r="I16" s="101">
        <f t="shared" si="3"/>
        <v>609112.56999999995</v>
      </c>
      <c r="N16" s="834" t="s">
        <v>22</v>
      </c>
      <c r="O16" s="834"/>
      <c r="P16" s="831">
        <f t="shared" si="0"/>
        <v>0</v>
      </c>
      <c r="Q16" s="831"/>
      <c r="R16" s="835">
        <v>1</v>
      </c>
      <c r="S16" s="835"/>
      <c r="T16" s="95">
        <f t="shared" si="4"/>
        <v>0</v>
      </c>
      <c r="U16" s="524">
        <f t="shared" si="5"/>
        <v>0</v>
      </c>
    </row>
    <row r="17" spans="1:21" x14ac:dyDescent="0.25">
      <c r="A17" s="788" t="s">
        <v>23</v>
      </c>
      <c r="B17" s="788"/>
      <c r="C17" s="143">
        <v>16.5</v>
      </c>
      <c r="D17" s="143">
        <v>0</v>
      </c>
      <c r="E17" s="116">
        <f t="shared" si="1"/>
        <v>33</v>
      </c>
      <c r="F17" s="833">
        <f>'1461'!F17:G17</f>
        <v>1</v>
      </c>
      <c r="G17" s="833"/>
      <c r="H17" s="80">
        <f t="shared" si="2"/>
        <v>33</v>
      </c>
      <c r="I17" s="101">
        <f t="shared" si="3"/>
        <v>183099.97</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58.879999999999995</v>
      </c>
      <c r="D26" s="143">
        <v>0</v>
      </c>
      <c r="E26" s="116">
        <f t="shared" si="1"/>
        <v>117.75999999999999</v>
      </c>
      <c r="F26" s="833">
        <f>'1461'!F26:G26</f>
        <v>1.1919999999999999</v>
      </c>
      <c r="G26" s="833"/>
      <c r="H26" s="80">
        <f t="shared" si="2"/>
        <v>140.3699</v>
      </c>
      <c r="I26" s="101">
        <f t="shared" si="3"/>
        <v>778840.14</v>
      </c>
      <c r="N26" s="834" t="s">
        <v>85</v>
      </c>
      <c r="O26" s="834"/>
      <c r="P26" s="831">
        <f t="shared" si="0"/>
        <v>0</v>
      </c>
      <c r="Q26" s="831"/>
      <c r="R26" s="835">
        <v>1</v>
      </c>
      <c r="S26" s="835"/>
      <c r="T26" s="95">
        <f t="shared" si="4"/>
        <v>0</v>
      </c>
      <c r="U26" s="524">
        <f t="shared" si="5"/>
        <v>0</v>
      </c>
    </row>
    <row r="27" spans="1:21" x14ac:dyDescent="0.25">
      <c r="A27" s="788" t="s">
        <v>86</v>
      </c>
      <c r="B27" s="788"/>
      <c r="C27" s="143">
        <v>12.11</v>
      </c>
      <c r="D27" s="143">
        <v>0</v>
      </c>
      <c r="E27" s="116">
        <f t="shared" si="1"/>
        <v>24.22</v>
      </c>
      <c r="F27" s="833">
        <f>'1461'!F27:G27</f>
        <v>1.1919999999999999</v>
      </c>
      <c r="G27" s="833"/>
      <c r="H27" s="80">
        <f t="shared" si="2"/>
        <v>28.870200000000001</v>
      </c>
      <c r="I27" s="101">
        <f t="shared" si="3"/>
        <v>160185.84</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289.5</v>
      </c>
      <c r="D30" s="94">
        <f>SUM(D14:D29)</f>
        <v>0</v>
      </c>
      <c r="E30" s="94">
        <f>SUM(E14:E29)</f>
        <v>579</v>
      </c>
      <c r="F30" s="792"/>
      <c r="G30" s="792"/>
      <c r="H30" s="99">
        <f>SUM(H14:H29)</f>
        <v>640.98040000000003</v>
      </c>
      <c r="I30" s="94">
        <f>SUM(I14:I29)</f>
        <v>3556469.48</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640.98040000000003</v>
      </c>
      <c r="F46" s="34"/>
      <c r="G46" s="106"/>
      <c r="H46" s="107" t="s">
        <v>98</v>
      </c>
      <c r="I46" s="94">
        <f>SUM(I44,I30)</f>
        <v>3556469.48</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3604943.24</v>
      </c>
      <c r="G51" s="109" t="s">
        <v>6</v>
      </c>
      <c r="H51" s="453">
        <v>5.5899999999999998E-2</v>
      </c>
      <c r="I51" s="101">
        <f>ROUND(F51*H51,2)</f>
        <v>201516.33</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3604943.24</v>
      </c>
      <c r="G52" s="109" t="s">
        <v>6</v>
      </c>
      <c r="H52" s="453">
        <v>1.0699999999999999E-2</v>
      </c>
      <c r="I52" s="101">
        <f>ROUND(F52*H52,2)</f>
        <v>38572.89</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240089.21999999997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23.5</v>
      </c>
      <c r="D57" s="143">
        <v>0</v>
      </c>
      <c r="E57" s="116">
        <f>IF(D$66=0,C57*2,C57+D57)</f>
        <v>47</v>
      </c>
      <c r="F57" s="494" t="s">
        <v>498</v>
      </c>
      <c r="G57" s="494">
        <v>251</v>
      </c>
      <c r="H57" s="508">
        <f>'1461'!H57</f>
        <v>1047</v>
      </c>
      <c r="I57" s="101">
        <f>ROUND(E57*H57,2)</f>
        <v>49209</v>
      </c>
      <c r="N57" s="848" t="s">
        <v>506</v>
      </c>
      <c r="O57" s="848"/>
      <c r="P57" s="850"/>
      <c r="Q57" s="850"/>
      <c r="R57" s="500" t="s">
        <v>498</v>
      </c>
      <c r="S57" s="500">
        <v>251</v>
      </c>
      <c r="T57" s="511">
        <f>H57</f>
        <v>1047</v>
      </c>
      <c r="U57" s="525">
        <f>ROUND(P57*T57,2)</f>
        <v>0</v>
      </c>
      <c r="V57" s="475"/>
    </row>
    <row r="58" spans="1:22" x14ac:dyDescent="0.25">
      <c r="A58" s="799"/>
      <c r="B58" s="799"/>
      <c r="C58" s="143">
        <v>3</v>
      </c>
      <c r="D58" s="143">
        <v>0</v>
      </c>
      <c r="E58" s="116">
        <f>IF(D$66=0,C58*2,C58+D58)</f>
        <v>6</v>
      </c>
      <c r="F58" s="494" t="s">
        <v>498</v>
      </c>
      <c r="G58" s="494">
        <v>252</v>
      </c>
      <c r="H58" s="508">
        <f>'1461'!H58</f>
        <v>3380</v>
      </c>
      <c r="I58" s="101">
        <f t="shared" ref="I58:I65" si="10">ROUND(E58*H58,2)</f>
        <v>20280</v>
      </c>
      <c r="N58" s="849"/>
      <c r="O58" s="849"/>
      <c r="P58" s="851"/>
      <c r="Q58" s="851"/>
      <c r="R58" s="500" t="s">
        <v>498</v>
      </c>
      <c r="S58" s="500">
        <v>252</v>
      </c>
      <c r="T58" s="511">
        <f t="shared" ref="T58:T65" si="11">H58</f>
        <v>3380</v>
      </c>
      <c r="U58" s="525">
        <f t="shared" ref="U58:U65" si="12">ROUND(P58*T58,2)</f>
        <v>0</v>
      </c>
      <c r="V58" s="475"/>
    </row>
    <row r="59" spans="1:22" x14ac:dyDescent="0.25">
      <c r="A59" s="799"/>
      <c r="B59" s="799"/>
      <c r="C59" s="143">
        <v>0.5</v>
      </c>
      <c r="D59" s="143">
        <v>0</v>
      </c>
      <c r="E59" s="116">
        <f>IF(D$66=0,C59*2,C59+D59)</f>
        <v>1</v>
      </c>
      <c r="F59" s="494" t="s">
        <v>498</v>
      </c>
      <c r="G59" s="494">
        <v>253</v>
      </c>
      <c r="H59" s="508">
        <f>'1461'!H59</f>
        <v>6896</v>
      </c>
      <c r="I59" s="101">
        <f t="shared" si="10"/>
        <v>6896</v>
      </c>
      <c r="N59" s="849"/>
      <c r="O59" s="849"/>
      <c r="P59" s="851"/>
      <c r="Q59" s="851"/>
      <c r="R59" s="500" t="s">
        <v>498</v>
      </c>
      <c r="S59" s="500">
        <v>253</v>
      </c>
      <c r="T59" s="511">
        <f t="shared" si="11"/>
        <v>6896</v>
      </c>
      <c r="U59" s="525">
        <f t="shared" si="12"/>
        <v>0</v>
      </c>
      <c r="V59" s="475"/>
    </row>
    <row r="60" spans="1:22" x14ac:dyDescent="0.25">
      <c r="A60" s="799"/>
      <c r="B60" s="799"/>
      <c r="C60" s="143">
        <v>16.5</v>
      </c>
      <c r="D60" s="143">
        <v>0</v>
      </c>
      <c r="E60" s="116">
        <f>IF(D$66=0,C60*2,C60+D60)</f>
        <v>33</v>
      </c>
      <c r="F60" s="495" t="s">
        <v>13</v>
      </c>
      <c r="G60" s="494">
        <v>251</v>
      </c>
      <c r="H60" s="508">
        <f>'1461'!H60</f>
        <v>1173</v>
      </c>
      <c r="I60" s="101">
        <f t="shared" si="10"/>
        <v>38709</v>
      </c>
      <c r="N60" s="849"/>
      <c r="O60" s="849"/>
      <c r="P60" s="851"/>
      <c r="Q60" s="851"/>
      <c r="R60" s="40" t="s">
        <v>13</v>
      </c>
      <c r="S60" s="500">
        <v>251</v>
      </c>
      <c r="T60" s="511">
        <f t="shared" si="11"/>
        <v>1173</v>
      </c>
      <c r="U60" s="525">
        <f t="shared" si="12"/>
        <v>0</v>
      </c>
      <c r="V60" s="475"/>
    </row>
    <row r="61" spans="1:22" x14ac:dyDescent="0.25">
      <c r="A61" s="799"/>
      <c r="B61" s="799"/>
      <c r="C61" s="143">
        <v>0</v>
      </c>
      <c r="D61" s="143">
        <v>0</v>
      </c>
      <c r="E61" s="116">
        <f>IF(D$66=0,C61*2,C61+D61)</f>
        <v>0</v>
      </c>
      <c r="F61" s="495" t="s">
        <v>13</v>
      </c>
      <c r="G61" s="494">
        <v>252</v>
      </c>
      <c r="H61" s="508">
        <f>'1461'!H61</f>
        <v>3506</v>
      </c>
      <c r="I61" s="101">
        <f t="shared" si="10"/>
        <v>0</v>
      </c>
      <c r="N61" s="849"/>
      <c r="O61" s="849"/>
      <c r="P61" s="851"/>
      <c r="Q61" s="851"/>
      <c r="R61" s="40" t="s">
        <v>13</v>
      </c>
      <c r="S61" s="500">
        <v>252</v>
      </c>
      <c r="T61" s="511">
        <f t="shared" si="11"/>
        <v>3506</v>
      </c>
      <c r="U61" s="525">
        <f t="shared" si="12"/>
        <v>0</v>
      </c>
      <c r="V61" s="475"/>
    </row>
    <row r="62" spans="1:22" x14ac:dyDescent="0.25">
      <c r="A62" s="799"/>
      <c r="B62" s="799"/>
      <c r="C62" s="143">
        <v>0</v>
      </c>
      <c r="D62" s="143">
        <v>0</v>
      </c>
      <c r="E62" s="116">
        <f t="shared" ref="E62:E65" si="13">IF(D$72=0,C62*2,C62+D62)</f>
        <v>0</v>
      </c>
      <c r="F62" s="495" t="s">
        <v>13</v>
      </c>
      <c r="G62" s="494">
        <v>253</v>
      </c>
      <c r="H62" s="508">
        <f>'1461'!H62</f>
        <v>7023</v>
      </c>
      <c r="I62" s="101">
        <f t="shared" si="10"/>
        <v>0</v>
      </c>
      <c r="N62" s="849"/>
      <c r="O62" s="849"/>
      <c r="P62" s="851"/>
      <c r="Q62" s="851"/>
      <c r="R62" s="40" t="s">
        <v>13</v>
      </c>
      <c r="S62" s="500">
        <v>253</v>
      </c>
      <c r="T62" s="511">
        <f t="shared" si="11"/>
        <v>7023</v>
      </c>
      <c r="U62" s="525">
        <f t="shared" si="12"/>
        <v>0</v>
      </c>
      <c r="V62" s="475"/>
    </row>
    <row r="63" spans="1:22" x14ac:dyDescent="0.25">
      <c r="A63" s="799"/>
      <c r="B63" s="799"/>
      <c r="C63" s="143">
        <v>0</v>
      </c>
      <c r="D63" s="143">
        <v>0</v>
      </c>
      <c r="E63" s="116">
        <f t="shared" si="13"/>
        <v>0</v>
      </c>
      <c r="F63" s="495" t="s">
        <v>14</v>
      </c>
      <c r="G63" s="494">
        <v>251</v>
      </c>
      <c r="H63" s="508">
        <f>'1461'!H63</f>
        <v>835</v>
      </c>
      <c r="I63" s="101">
        <f t="shared" si="10"/>
        <v>0</v>
      </c>
      <c r="N63" s="849"/>
      <c r="O63" s="849"/>
      <c r="P63" s="851"/>
      <c r="Q63" s="851"/>
      <c r="R63" s="40" t="s">
        <v>14</v>
      </c>
      <c r="S63" s="500">
        <v>251</v>
      </c>
      <c r="T63" s="511">
        <f t="shared" si="11"/>
        <v>835</v>
      </c>
      <c r="U63" s="525">
        <f t="shared" si="12"/>
        <v>0</v>
      </c>
      <c r="V63" s="475"/>
    </row>
    <row r="64" spans="1:22" x14ac:dyDescent="0.25">
      <c r="A64" s="799"/>
      <c r="B64" s="799"/>
      <c r="C64" s="143">
        <v>0</v>
      </c>
      <c r="D64" s="143">
        <v>0</v>
      </c>
      <c r="E64" s="116">
        <f t="shared" si="13"/>
        <v>0</v>
      </c>
      <c r="F64" s="495" t="s">
        <v>14</v>
      </c>
      <c r="G64" s="494">
        <v>252</v>
      </c>
      <c r="H64" s="508">
        <f>'1461'!H64</f>
        <v>3168</v>
      </c>
      <c r="I64" s="101">
        <f t="shared" si="10"/>
        <v>0</v>
      </c>
      <c r="N64" s="849"/>
      <c r="O64" s="849"/>
      <c r="P64" s="851"/>
      <c r="Q64" s="851"/>
      <c r="R64" s="40" t="s">
        <v>14</v>
      </c>
      <c r="S64" s="500">
        <v>252</v>
      </c>
      <c r="T64" s="511">
        <f t="shared" si="11"/>
        <v>3168</v>
      </c>
      <c r="U64" s="525">
        <f t="shared" si="12"/>
        <v>0</v>
      </c>
      <c r="V64" s="475"/>
    </row>
    <row r="65" spans="1:22" ht="16.5" thickBot="1" x14ac:dyDescent="0.3">
      <c r="A65" s="799"/>
      <c r="B65" s="799"/>
      <c r="C65" s="143">
        <v>0</v>
      </c>
      <c r="D65" s="143">
        <v>0</v>
      </c>
      <c r="E65" s="116">
        <f t="shared" si="13"/>
        <v>0</v>
      </c>
      <c r="F65" s="495" t="s">
        <v>14</v>
      </c>
      <c r="G65" s="494">
        <v>253</v>
      </c>
      <c r="H65" s="508">
        <f>'1461'!H65</f>
        <v>6685</v>
      </c>
      <c r="I65" s="101">
        <f t="shared" si="10"/>
        <v>0</v>
      </c>
      <c r="N65" s="849"/>
      <c r="O65" s="849"/>
      <c r="P65" s="857"/>
      <c r="Q65" s="857"/>
      <c r="R65" s="40" t="s">
        <v>14</v>
      </c>
      <c r="S65" s="500">
        <v>253</v>
      </c>
      <c r="T65" s="511">
        <f t="shared" si="11"/>
        <v>6685</v>
      </c>
      <c r="U65" s="526">
        <f t="shared" si="12"/>
        <v>0</v>
      </c>
      <c r="V65" s="475"/>
    </row>
    <row r="66" spans="1:22" ht="16.5" thickBot="1" x14ac:dyDescent="0.3">
      <c r="A66" s="491"/>
      <c r="C66" s="97">
        <f>SUM(C57:C65)</f>
        <v>43.5</v>
      </c>
      <c r="D66" s="97">
        <f>SUM(D57:D65)</f>
        <v>0</v>
      </c>
      <c r="E66" s="97">
        <f>SUM(E57:E65)</f>
        <v>87</v>
      </c>
      <c r="F66" s="800" t="s">
        <v>507</v>
      </c>
      <c r="G66" s="800"/>
      <c r="H66" s="800"/>
      <c r="I66" s="97">
        <f>SUM(I57:I65)</f>
        <v>115094</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579</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2.745E-3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640.98040000000003</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2.6979999999999999E-3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579</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3.0990000000000002E-3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579</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2.7490000000000001E-3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579</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3.104E-3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2.7490000000000001E-3</v>
      </c>
      <c r="I85" s="101">
        <f>ROUND(F85*H85,2)</f>
        <v>127283.42</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2.745E-3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3.104E-3</v>
      </c>
      <c r="I90" s="101">
        <f>ROUND(F90*H90,2)</f>
        <v>59366.76</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3.0990000000000002E-3</v>
      </c>
      <c r="I92" s="101">
        <f t="shared" ref="I92:I96" si="14">ROUND(F92*H92,2)</f>
        <v>35673.71</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2.6979999999999999E-3</v>
      </c>
      <c r="I94" s="101">
        <f t="shared" si="14"/>
        <v>690031.89</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2.6979999999999999E-3</v>
      </c>
      <c r="I96" s="101">
        <f t="shared" si="14"/>
        <v>-41668.06</v>
      </c>
      <c r="N96" s="853" t="s">
        <v>483</v>
      </c>
      <c r="O96" s="834"/>
      <c r="P96" s="834"/>
      <c r="Q96" s="44"/>
      <c r="R96" s="470">
        <f t="shared" si="15"/>
        <v>-15444055</v>
      </c>
      <c r="S96" s="38" t="s">
        <v>6</v>
      </c>
      <c r="T96" s="472">
        <f>T73</f>
        <v>0</v>
      </c>
      <c r="U96" s="524">
        <f>ROUND(R96*T96,2)</f>
        <v>0</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2.745E-3</v>
      </c>
      <c r="I98" s="101">
        <f t="shared" ref="I98" si="16">ROUND(F98*H98,2)</f>
        <v>15430.81</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469.33019999999999</v>
      </c>
      <c r="D104" s="806"/>
      <c r="E104" s="46">
        <f>H8</f>
        <v>1.0407999999999999</v>
      </c>
      <c r="F104" s="302">
        <f>'1461'!F104</f>
        <v>950.92</v>
      </c>
      <c r="G104" s="39" t="s">
        <v>12</v>
      </c>
      <c r="H104" s="101">
        <f>ROUND(C104*E104*F104,2)</f>
        <v>464504.33</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171.65020000000001</v>
      </c>
      <c r="D105" s="806"/>
      <c r="E105" s="46">
        <f>H8</f>
        <v>1.0407999999999999</v>
      </c>
      <c r="F105" s="302">
        <f>'1461'!F105</f>
        <v>907.92</v>
      </c>
      <c r="G105" s="39" t="s">
        <v>12</v>
      </c>
      <c r="H105" s="101">
        <f>ROUND(C105*E105*F105,2)</f>
        <v>162203.10999999999</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640.98040000000003</v>
      </c>
      <c r="D107" s="796"/>
      <c r="E107" s="123"/>
      <c r="F107" s="123"/>
      <c r="G107" s="123"/>
      <c r="H107" s="124" t="s">
        <v>100</v>
      </c>
      <c r="I107" s="101">
        <f>IF(A1=75,0,H106+H105+H104)</f>
        <v>626707.43999999994</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215</v>
      </c>
      <c r="D113" s="143">
        <v>0</v>
      </c>
      <c r="E113" s="116">
        <f>(C113+D113)</f>
        <v>215</v>
      </c>
      <c r="F113" s="126" t="s">
        <v>30</v>
      </c>
      <c r="G113" s="303">
        <f>'1461'!G113</f>
        <v>607</v>
      </c>
      <c r="I113" s="101">
        <f>ROUND(G113*E113,2)</f>
        <v>130505</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5314894.4499999993</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5074805.2299999995</v>
      </c>
      <c r="N130" s="853"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5074805.2299999995</v>
      </c>
      <c r="I135" s="94">
        <f>ROUND(IF(E30=0,0,IF(E30&gt;250,-(((250/E30)*H135)*IF(G135="H",0.02,0.05)),IF(G135="H",-0.02*H135,-0.05*H135))),2)</f>
        <v>-109559.7</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5205334.7499999991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Payments'!Q77</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5205334.7499999991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433777.9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144180.56150000001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113</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119.8</v>
      </c>
      <c r="D14" s="143">
        <v>0</v>
      </c>
      <c r="E14" s="187">
        <f>IF(D$30=0,C14*2,C14+D14)</f>
        <v>239.6</v>
      </c>
      <c r="F14" s="829">
        <f>'1461'!F14:G14</f>
        <v>1.1180000000000001</v>
      </c>
      <c r="G14" s="829"/>
      <c r="H14" s="145">
        <f>ROUND(E14*F14,4)</f>
        <v>267.87279999999998</v>
      </c>
      <c r="I14" s="111">
        <f>ROUND(ROUND(ROUND(H14*$C$8,4)*($H$8),2)*(MAX($H$9,1)),2)</f>
        <v>1486287.94</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23</v>
      </c>
      <c r="D15" s="143">
        <v>0</v>
      </c>
      <c r="E15" s="116">
        <f t="shared" ref="E15:E29" si="1">IF(D$30=0,C15*2,C15+D15)</f>
        <v>46</v>
      </c>
      <c r="F15" s="833">
        <f>'1461'!F15:G15</f>
        <v>1.1180000000000001</v>
      </c>
      <c r="G15" s="833"/>
      <c r="H15" s="80">
        <f t="shared" ref="H15:H29" si="2">ROUND(E15*F15,4)</f>
        <v>51.427999999999997</v>
      </c>
      <c r="I15" s="101">
        <f t="shared" ref="I15:I29" si="3">ROUND(ROUND(ROUND(H15*$C$8,4)*($H$8),2)*(MAX($H$9,1)),2)</f>
        <v>285347.43</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159.5</v>
      </c>
      <c r="D16" s="143">
        <v>0</v>
      </c>
      <c r="E16" s="116">
        <f t="shared" si="1"/>
        <v>319</v>
      </c>
      <c r="F16" s="833">
        <f>'1461'!F16:G16</f>
        <v>1</v>
      </c>
      <c r="G16" s="833"/>
      <c r="H16" s="80">
        <f t="shared" si="2"/>
        <v>319</v>
      </c>
      <c r="I16" s="101">
        <f t="shared" si="3"/>
        <v>1769966.39</v>
      </c>
      <c r="N16" s="834" t="s">
        <v>22</v>
      </c>
      <c r="O16" s="834"/>
      <c r="P16" s="831">
        <f t="shared" si="0"/>
        <v>0</v>
      </c>
      <c r="Q16" s="831"/>
      <c r="R16" s="835">
        <v>1</v>
      </c>
      <c r="S16" s="835"/>
      <c r="T16" s="95">
        <f t="shared" si="4"/>
        <v>0</v>
      </c>
      <c r="U16" s="524">
        <f t="shared" si="5"/>
        <v>0</v>
      </c>
    </row>
    <row r="17" spans="1:21" x14ac:dyDescent="0.25">
      <c r="A17" s="788" t="s">
        <v>23</v>
      </c>
      <c r="B17" s="788"/>
      <c r="C17" s="143">
        <v>43.46</v>
      </c>
      <c r="D17" s="143">
        <v>0</v>
      </c>
      <c r="E17" s="116">
        <f t="shared" si="1"/>
        <v>86.92</v>
      </c>
      <c r="F17" s="833">
        <f>'1461'!F17:G17</f>
        <v>1</v>
      </c>
      <c r="G17" s="833"/>
      <c r="H17" s="80">
        <f t="shared" si="2"/>
        <v>86.92</v>
      </c>
      <c r="I17" s="101">
        <f t="shared" si="3"/>
        <v>482274.23</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7.1999999999999993</v>
      </c>
      <c r="D26" s="143">
        <v>0</v>
      </c>
      <c r="E26" s="116">
        <f t="shared" si="1"/>
        <v>14.399999999999999</v>
      </c>
      <c r="F26" s="833">
        <f>'1461'!F26:G26</f>
        <v>1.1919999999999999</v>
      </c>
      <c r="G26" s="833"/>
      <c r="H26" s="80">
        <f t="shared" si="2"/>
        <v>17.1648</v>
      </c>
      <c r="I26" s="101">
        <f t="shared" si="3"/>
        <v>95238.62</v>
      </c>
      <c r="N26" s="834" t="s">
        <v>85</v>
      </c>
      <c r="O26" s="834"/>
      <c r="P26" s="831">
        <f t="shared" si="0"/>
        <v>0</v>
      </c>
      <c r="Q26" s="831"/>
      <c r="R26" s="835">
        <v>1</v>
      </c>
      <c r="S26" s="835"/>
      <c r="T26" s="95">
        <f t="shared" si="4"/>
        <v>0</v>
      </c>
      <c r="U26" s="524">
        <f t="shared" si="5"/>
        <v>0</v>
      </c>
    </row>
    <row r="27" spans="1:21" x14ac:dyDescent="0.25">
      <c r="A27" s="788" t="s">
        <v>86</v>
      </c>
      <c r="B27" s="788"/>
      <c r="C27" s="143">
        <v>1.4100000000000001</v>
      </c>
      <c r="D27" s="143">
        <v>0</v>
      </c>
      <c r="E27" s="116">
        <f t="shared" si="1"/>
        <v>2.8200000000000003</v>
      </c>
      <c r="F27" s="833">
        <f>'1461'!F27:G27</f>
        <v>1.1919999999999999</v>
      </c>
      <c r="G27" s="833"/>
      <c r="H27" s="80">
        <f t="shared" si="2"/>
        <v>3.3614000000000002</v>
      </c>
      <c r="I27" s="101">
        <f t="shared" si="3"/>
        <v>18650.669999999998</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354.37</v>
      </c>
      <c r="D30" s="94">
        <f>SUM(D14:D29)</f>
        <v>0</v>
      </c>
      <c r="E30" s="94">
        <f>SUM(E14:E29)</f>
        <v>708.74</v>
      </c>
      <c r="F30" s="792"/>
      <c r="G30" s="792"/>
      <c r="H30" s="99">
        <f>SUM(H14:H29)</f>
        <v>745.74699999999996</v>
      </c>
      <c r="I30" s="94">
        <f>SUM(I14:I29)</f>
        <v>4137765.28</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745.74699999999996</v>
      </c>
      <c r="F46" s="34"/>
      <c r="G46" s="106"/>
      <c r="H46" s="107" t="s">
        <v>98</v>
      </c>
      <c r="I46" s="94">
        <f>SUM(I44,I30)</f>
        <v>4137765.28</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3740192.5500000003</v>
      </c>
      <c r="G51" s="109" t="s">
        <v>6</v>
      </c>
      <c r="H51" s="453">
        <v>5.5899999999999998E-2</v>
      </c>
      <c r="I51" s="101">
        <f>ROUND(F51*H51,2)</f>
        <v>209076.76</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3740192.5500000003</v>
      </c>
      <c r="G52" s="109" t="s">
        <v>6</v>
      </c>
      <c r="H52" s="453">
        <v>1.0699999999999999E-2</v>
      </c>
      <c r="I52" s="101">
        <f>ROUND(F52*H52,2)</f>
        <v>40020.06</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249096.82</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19</v>
      </c>
      <c r="D57" s="143">
        <v>0</v>
      </c>
      <c r="E57" s="116">
        <f t="shared" ref="E57:E65" si="10">IF(D$66=0,C57*2,C57+D57)</f>
        <v>38</v>
      </c>
      <c r="F57" s="494" t="s">
        <v>498</v>
      </c>
      <c r="G57" s="494">
        <v>251</v>
      </c>
      <c r="H57" s="508">
        <f>'1461'!H57</f>
        <v>1047</v>
      </c>
      <c r="I57" s="101">
        <f>ROUND(E57*H57,2)</f>
        <v>39786</v>
      </c>
      <c r="N57" s="848" t="s">
        <v>506</v>
      </c>
      <c r="O57" s="848"/>
      <c r="P57" s="850"/>
      <c r="Q57" s="850"/>
      <c r="R57" s="500" t="s">
        <v>498</v>
      </c>
      <c r="S57" s="500">
        <v>251</v>
      </c>
      <c r="T57" s="511">
        <f>H57</f>
        <v>1047</v>
      </c>
      <c r="U57" s="525">
        <f>ROUND(P57*T57,2)</f>
        <v>0</v>
      </c>
      <c r="V57" s="475"/>
    </row>
    <row r="58" spans="1:22" x14ac:dyDescent="0.25">
      <c r="A58" s="799"/>
      <c r="B58" s="799"/>
      <c r="C58" s="143">
        <v>4</v>
      </c>
      <c r="D58" s="143">
        <v>0</v>
      </c>
      <c r="E58" s="116">
        <f t="shared" si="10"/>
        <v>8</v>
      </c>
      <c r="F58" s="494" t="s">
        <v>498</v>
      </c>
      <c r="G58" s="494">
        <v>252</v>
      </c>
      <c r="H58" s="508">
        <f>'1461'!H58</f>
        <v>3380</v>
      </c>
      <c r="I58" s="101">
        <f t="shared" ref="I58:I65" si="11">ROUND(E58*H58,2)</f>
        <v>27040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36.43</v>
      </c>
      <c r="D60" s="143">
        <v>0</v>
      </c>
      <c r="E60" s="116">
        <f t="shared" si="10"/>
        <v>72.86</v>
      </c>
      <c r="F60" s="495" t="s">
        <v>13</v>
      </c>
      <c r="G60" s="494">
        <v>251</v>
      </c>
      <c r="H60" s="508">
        <f>'1461'!H60</f>
        <v>1173</v>
      </c>
      <c r="I60" s="101">
        <f t="shared" si="11"/>
        <v>85464.78</v>
      </c>
      <c r="N60" s="849"/>
      <c r="O60" s="849"/>
      <c r="P60" s="851"/>
      <c r="Q60" s="851"/>
      <c r="R60" s="40" t="s">
        <v>13</v>
      </c>
      <c r="S60" s="500">
        <v>251</v>
      </c>
      <c r="T60" s="511">
        <f t="shared" si="12"/>
        <v>1173</v>
      </c>
      <c r="U60" s="525">
        <f t="shared" si="13"/>
        <v>0</v>
      </c>
      <c r="V60" s="475"/>
    </row>
    <row r="61" spans="1:22" x14ac:dyDescent="0.25">
      <c r="A61" s="799"/>
      <c r="B61" s="799"/>
      <c r="C61" s="143">
        <v>7.03</v>
      </c>
      <c r="D61" s="143">
        <v>0</v>
      </c>
      <c r="E61" s="116">
        <f t="shared" si="10"/>
        <v>14.06</v>
      </c>
      <c r="F61" s="495" t="s">
        <v>13</v>
      </c>
      <c r="G61" s="494">
        <v>252</v>
      </c>
      <c r="H61" s="508">
        <f>'1461'!H61</f>
        <v>3506</v>
      </c>
      <c r="I61" s="101">
        <f t="shared" si="11"/>
        <v>49294.36</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66.459999999999994</v>
      </c>
      <c r="D66" s="97">
        <f>SUM(D57:D65)</f>
        <v>0</v>
      </c>
      <c r="E66" s="97">
        <f>SUM(E57:E65)</f>
        <v>132.91999999999999</v>
      </c>
      <c r="F66" s="800" t="s">
        <v>507</v>
      </c>
      <c r="G66" s="800"/>
      <c r="H66" s="800"/>
      <c r="I66" s="97">
        <f>SUM(I57:I65)</f>
        <v>201585.14</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708.74</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3.3600000000000001E-3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745.74699999999996</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3.1389999999999999E-3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708.74</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3.7940000000000001E-3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708.74</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3.3649999999999999E-3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708.74</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3.8E-3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3.3649999999999999E-3</v>
      </c>
      <c r="I85" s="101">
        <f>ROUND(F85*H85,2)</f>
        <v>155805.28</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3.3600000000000001E-3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3.8E-3</v>
      </c>
      <c r="I90" s="101">
        <f>ROUND(F90*H90,2)</f>
        <v>72678.38</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3.7940000000000001E-3</v>
      </c>
      <c r="I92" s="101">
        <f t="shared" ref="I92:I96" si="14">ROUND(F92*H92,2)</f>
        <v>43674.11</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3.1389999999999999E-3</v>
      </c>
      <c r="I94" s="101">
        <f t="shared" si="14"/>
        <v>802820.65</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3.1389999999999999E-3</v>
      </c>
      <c r="I96" s="101">
        <f t="shared" si="14"/>
        <v>-48478.89</v>
      </c>
      <c r="N96" s="853" t="s">
        <v>483</v>
      </c>
      <c r="O96" s="834"/>
      <c r="P96" s="834"/>
      <c r="Q96" s="44"/>
      <c r="R96" s="470">
        <f t="shared" si="15"/>
        <v>-15444055</v>
      </c>
      <c r="S96" s="38" t="s">
        <v>6</v>
      </c>
      <c r="T96" s="472">
        <f>T73</f>
        <v>0</v>
      </c>
      <c r="U96" s="524">
        <f>ROUND(R96*T96,2)</f>
        <v>0</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3.3600000000000001E-3</v>
      </c>
      <c r="I98" s="101">
        <f t="shared" ref="I98" si="16">ROUND(F98*H98,2)</f>
        <v>18887.98</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336.46559999999999</v>
      </c>
      <c r="D104" s="806"/>
      <c r="E104" s="46">
        <f>H8</f>
        <v>1.0407999999999999</v>
      </c>
      <c r="F104" s="302">
        <f>'1461'!F104</f>
        <v>950.92</v>
      </c>
      <c r="G104" s="39" t="s">
        <v>12</v>
      </c>
      <c r="H104" s="101">
        <f>ROUND(C104*E104*F104,2)</f>
        <v>333005.90000000002</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409.28140000000002</v>
      </c>
      <c r="D105" s="806"/>
      <c r="E105" s="46">
        <f>H8</f>
        <v>1.0407999999999999</v>
      </c>
      <c r="F105" s="302">
        <f>'1461'!F105</f>
        <v>907.92</v>
      </c>
      <c r="G105" s="39" t="s">
        <v>12</v>
      </c>
      <c r="H105" s="101">
        <f>ROUND(C105*E105*F105,2)</f>
        <v>386755.84000000003</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745.74700000000007</v>
      </c>
      <c r="D107" s="796"/>
      <c r="E107" s="123"/>
      <c r="F107" s="123"/>
      <c r="G107" s="123"/>
      <c r="H107" s="124" t="s">
        <v>100</v>
      </c>
      <c r="I107" s="101">
        <f>IF(A1=75,0,H106+H105+H104)</f>
        <v>719761.74</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6104499.6700000018</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5855402.8500000015</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5855402.8500000015</v>
      </c>
      <c r="I135" s="94">
        <f>ROUND(IF(E30=0,0,IF(E30&gt;250,-(((250/E30)*H135)*IF(G135="H",0.02,0.05)),IF(G135="H",-0.02*H135,-0.05*H135))),2)</f>
        <v>-41308.54</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6063191.1300000018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Payments'!Q78</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6063191.1300000018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505265.93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75799.517000000022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114</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0.5</v>
      </c>
      <c r="D14" s="143">
        <v>0</v>
      </c>
      <c r="E14" s="187">
        <f>IF(D$30=0,C14*2,C14+D14)</f>
        <v>1</v>
      </c>
      <c r="F14" s="829">
        <f>'1461'!F14:G14</f>
        <v>1.1180000000000001</v>
      </c>
      <c r="G14" s="829"/>
      <c r="H14" s="145">
        <f>ROUND(E14*F14,4)</f>
        <v>1.1180000000000001</v>
      </c>
      <c r="I14" s="111">
        <f>ROUND(ROUND(ROUND(H14*$C$8,4)*($H$8),2)*(MAX($H$9,1)),2)</f>
        <v>6203.21</v>
      </c>
      <c r="N14" s="830" t="s">
        <v>20</v>
      </c>
      <c r="O14" s="830"/>
      <c r="P14" s="831">
        <f t="shared" ref="P14:P29" si="0">IF($H$133=1,E14,0)</f>
        <v>1</v>
      </c>
      <c r="Q14" s="831"/>
      <c r="R14" s="832">
        <v>1</v>
      </c>
      <c r="S14" s="832"/>
      <c r="T14" s="95">
        <f>ROUND(P14*R14,4)</f>
        <v>1</v>
      </c>
      <c r="U14" s="524">
        <f>ROUND(ROUND(ROUND(T14*$C$8,4)*($H$8),2)*(MAX($H$9,1)),2)</f>
        <v>5548.48</v>
      </c>
    </row>
    <row r="15" spans="1:21" x14ac:dyDescent="0.25">
      <c r="A15" s="788" t="s">
        <v>21</v>
      </c>
      <c r="B15" s="788"/>
      <c r="C15" s="143">
        <v>10.5</v>
      </c>
      <c r="D15" s="143">
        <v>0</v>
      </c>
      <c r="E15" s="116">
        <f t="shared" ref="E15:E29" si="1">IF(D$30=0,C15*2,C15+D15)</f>
        <v>21</v>
      </c>
      <c r="F15" s="833">
        <f>'1461'!F15:G15</f>
        <v>1.1180000000000001</v>
      </c>
      <c r="G15" s="833"/>
      <c r="H15" s="80">
        <f t="shared" ref="H15:H29" si="2">ROUND(E15*F15,4)</f>
        <v>23.478000000000002</v>
      </c>
      <c r="I15" s="101">
        <f t="shared" ref="I15:I29" si="3">ROUND(ROUND(ROUND(H15*$C$8,4)*($H$8),2)*(MAX($H$9,1)),2)</f>
        <v>130267.31</v>
      </c>
      <c r="J15" s="65" t="str">
        <f>IF(ROUND(E15,2)=ROUND(SUM(E57:E59),2)," ","CHECK PK-3 LINES BELOW")</f>
        <v xml:space="preserve"> </v>
      </c>
      <c r="N15" s="834" t="s">
        <v>21</v>
      </c>
      <c r="O15" s="834"/>
      <c r="P15" s="831">
        <f t="shared" si="0"/>
        <v>21</v>
      </c>
      <c r="Q15" s="831"/>
      <c r="R15" s="835">
        <v>1</v>
      </c>
      <c r="S15" s="835"/>
      <c r="T15" s="95">
        <f t="shared" ref="T15:T29" si="4">ROUND(P15*R15,4)</f>
        <v>21</v>
      </c>
      <c r="U15" s="524">
        <f t="shared" ref="U15:U29" si="5">ROUND(ROUND(ROUND(T15*$C$8,4)*($H$8),2)*(MAX($H$9,1)),2)</f>
        <v>116518.16</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13</v>
      </c>
      <c r="D17" s="143">
        <v>0</v>
      </c>
      <c r="E17" s="116">
        <f t="shared" si="1"/>
        <v>26</v>
      </c>
      <c r="F17" s="833">
        <f>'1461'!F17:G17</f>
        <v>1</v>
      </c>
      <c r="G17" s="833"/>
      <c r="H17" s="80">
        <f t="shared" si="2"/>
        <v>26</v>
      </c>
      <c r="I17" s="101">
        <f t="shared" si="3"/>
        <v>144260.57999999999</v>
      </c>
      <c r="J17" s="65" t="str">
        <f>IF(ROUND(E17,2)=ROUND(SUM(E60:E62),2)," ","CHECK 4-8 LINES BELOW")</f>
        <v xml:space="preserve"> </v>
      </c>
      <c r="N17" s="834" t="s">
        <v>23</v>
      </c>
      <c r="O17" s="834"/>
      <c r="P17" s="831">
        <f t="shared" si="0"/>
        <v>26</v>
      </c>
      <c r="Q17" s="831"/>
      <c r="R17" s="835">
        <v>1</v>
      </c>
      <c r="S17" s="835"/>
      <c r="T17" s="95">
        <f t="shared" si="4"/>
        <v>26</v>
      </c>
      <c r="U17" s="524">
        <f t="shared" si="5"/>
        <v>144260.57999999999</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33.5</v>
      </c>
      <c r="D19" s="143">
        <v>0</v>
      </c>
      <c r="E19" s="116">
        <f t="shared" si="1"/>
        <v>67</v>
      </c>
      <c r="F19" s="833">
        <f>'1461'!F19:G19</f>
        <v>0.97799999999999998</v>
      </c>
      <c r="G19" s="833"/>
      <c r="H19" s="80">
        <f t="shared" si="2"/>
        <v>65.525999999999996</v>
      </c>
      <c r="I19" s="101">
        <f t="shared" si="3"/>
        <v>363569.96</v>
      </c>
      <c r="J19" s="65" t="str">
        <f>IF(ROUND(E19,2)=ROUND(SUM(E63:E65),2)," ","CHECK 4-8 LINES BELOW")</f>
        <v xml:space="preserve"> </v>
      </c>
      <c r="N19" s="834" t="s">
        <v>25</v>
      </c>
      <c r="O19" s="834"/>
      <c r="P19" s="831">
        <f t="shared" si="0"/>
        <v>67</v>
      </c>
      <c r="Q19" s="831"/>
      <c r="R19" s="835">
        <v>1</v>
      </c>
      <c r="S19" s="835"/>
      <c r="T19" s="95">
        <f t="shared" si="4"/>
        <v>67</v>
      </c>
      <c r="U19" s="523">
        <f t="shared" si="5"/>
        <v>371748.43</v>
      </c>
    </row>
    <row r="20" spans="1:21" x14ac:dyDescent="0.25">
      <c r="A20" s="788" t="s">
        <v>79</v>
      </c>
      <c r="B20" s="788"/>
      <c r="C20" s="143">
        <v>41.5</v>
      </c>
      <c r="D20" s="143">
        <v>0</v>
      </c>
      <c r="E20" s="116">
        <f t="shared" si="1"/>
        <v>83</v>
      </c>
      <c r="F20" s="833">
        <f>'1461'!F20:G20</f>
        <v>3.6970000000000001</v>
      </c>
      <c r="G20" s="833"/>
      <c r="H20" s="80">
        <f t="shared" si="2"/>
        <v>306.851</v>
      </c>
      <c r="I20" s="101">
        <f t="shared" si="3"/>
        <v>1702557.86</v>
      </c>
      <c r="N20" s="834" t="s">
        <v>79</v>
      </c>
      <c r="O20" s="834"/>
      <c r="P20" s="831">
        <f t="shared" si="0"/>
        <v>83</v>
      </c>
      <c r="Q20" s="831"/>
      <c r="R20" s="835">
        <v>1</v>
      </c>
      <c r="S20" s="835"/>
      <c r="T20" s="95">
        <f t="shared" si="4"/>
        <v>83</v>
      </c>
      <c r="U20" s="524">
        <f t="shared" si="5"/>
        <v>460524.17</v>
      </c>
    </row>
    <row r="21" spans="1:21" x14ac:dyDescent="0.25">
      <c r="A21" s="788" t="s">
        <v>80</v>
      </c>
      <c r="B21" s="788"/>
      <c r="C21" s="143">
        <v>32.5</v>
      </c>
      <c r="D21" s="143">
        <v>0</v>
      </c>
      <c r="E21" s="116">
        <f t="shared" si="1"/>
        <v>65</v>
      </c>
      <c r="F21" s="833">
        <f>'1461'!F21:G21</f>
        <v>3.6970000000000001</v>
      </c>
      <c r="G21" s="833"/>
      <c r="H21" s="80">
        <f t="shared" si="2"/>
        <v>240.30500000000001</v>
      </c>
      <c r="I21" s="101">
        <f t="shared" si="3"/>
        <v>1333328.44</v>
      </c>
      <c r="N21" s="834" t="s">
        <v>80</v>
      </c>
      <c r="O21" s="834"/>
      <c r="P21" s="831">
        <f t="shared" si="0"/>
        <v>65</v>
      </c>
      <c r="Q21" s="831"/>
      <c r="R21" s="835">
        <v>1</v>
      </c>
      <c r="S21" s="835"/>
      <c r="T21" s="95">
        <f t="shared" si="4"/>
        <v>65</v>
      </c>
      <c r="U21" s="524">
        <f t="shared" si="5"/>
        <v>360651.46</v>
      </c>
    </row>
    <row r="22" spans="1:21" x14ac:dyDescent="0.25">
      <c r="A22" s="788" t="s">
        <v>81</v>
      </c>
      <c r="B22" s="788"/>
      <c r="C22" s="143">
        <v>23.5</v>
      </c>
      <c r="D22" s="143">
        <v>0</v>
      </c>
      <c r="E22" s="116">
        <f t="shared" si="1"/>
        <v>47</v>
      </c>
      <c r="F22" s="833">
        <f>'1461'!F22:G22</f>
        <v>3.6970000000000001</v>
      </c>
      <c r="G22" s="833"/>
      <c r="H22" s="80">
        <f t="shared" si="2"/>
        <v>173.75899999999999</v>
      </c>
      <c r="I22" s="101">
        <f t="shared" si="3"/>
        <v>964099.03</v>
      </c>
      <c r="N22" s="834" t="s">
        <v>81</v>
      </c>
      <c r="O22" s="834"/>
      <c r="P22" s="831">
        <f t="shared" si="0"/>
        <v>47</v>
      </c>
      <c r="Q22" s="831"/>
      <c r="R22" s="835">
        <v>1</v>
      </c>
      <c r="S22" s="835"/>
      <c r="T22" s="95">
        <f t="shared" si="4"/>
        <v>47</v>
      </c>
      <c r="U22" s="524">
        <f t="shared" si="5"/>
        <v>260778.75</v>
      </c>
    </row>
    <row r="23" spans="1:21" x14ac:dyDescent="0.25">
      <c r="A23" s="788" t="s">
        <v>82</v>
      </c>
      <c r="B23" s="788"/>
      <c r="C23" s="143">
        <f>0.5+4+5+4</f>
        <v>13.5</v>
      </c>
      <c r="D23" s="143">
        <v>0</v>
      </c>
      <c r="E23" s="116">
        <f t="shared" si="1"/>
        <v>27</v>
      </c>
      <c r="F23" s="833">
        <f>'1461'!F23:G23</f>
        <v>5.992</v>
      </c>
      <c r="G23" s="833"/>
      <c r="H23" s="80">
        <f t="shared" si="2"/>
        <v>161.78399999999999</v>
      </c>
      <c r="I23" s="101">
        <f t="shared" si="3"/>
        <v>897655.93</v>
      </c>
      <c r="N23" s="834" t="s">
        <v>82</v>
      </c>
      <c r="O23" s="834"/>
      <c r="P23" s="831">
        <f t="shared" si="0"/>
        <v>27</v>
      </c>
      <c r="Q23" s="831"/>
      <c r="R23" s="835">
        <v>1</v>
      </c>
      <c r="S23" s="835"/>
      <c r="T23" s="95">
        <f t="shared" si="4"/>
        <v>27</v>
      </c>
      <c r="U23" s="524">
        <f t="shared" si="5"/>
        <v>149809.07</v>
      </c>
    </row>
    <row r="24" spans="1:21" x14ac:dyDescent="0.25">
      <c r="A24" s="788" t="s">
        <v>83</v>
      </c>
      <c r="B24" s="788"/>
      <c r="C24" s="143">
        <f>0.5+4+3.5+2+2.5</f>
        <v>12.5</v>
      </c>
      <c r="D24" s="143">
        <v>0</v>
      </c>
      <c r="E24" s="116">
        <f t="shared" si="1"/>
        <v>25</v>
      </c>
      <c r="F24" s="833">
        <f>'1461'!F24:G24</f>
        <v>5.992</v>
      </c>
      <c r="G24" s="833"/>
      <c r="H24" s="80">
        <f t="shared" si="2"/>
        <v>149.80000000000001</v>
      </c>
      <c r="I24" s="101">
        <f t="shared" si="3"/>
        <v>831162.9</v>
      </c>
      <c r="N24" s="834" t="s">
        <v>83</v>
      </c>
      <c r="O24" s="834"/>
      <c r="P24" s="831">
        <f t="shared" si="0"/>
        <v>25</v>
      </c>
      <c r="Q24" s="831"/>
      <c r="R24" s="835">
        <v>1</v>
      </c>
      <c r="S24" s="835"/>
      <c r="T24" s="95">
        <f t="shared" si="4"/>
        <v>25</v>
      </c>
      <c r="U24" s="524">
        <f t="shared" si="5"/>
        <v>138712.1</v>
      </c>
    </row>
    <row r="25" spans="1:21" x14ac:dyDescent="0.25">
      <c r="A25" s="788" t="s">
        <v>84</v>
      </c>
      <c r="B25" s="788"/>
      <c r="C25" s="143">
        <f>2+1+2+4.5</f>
        <v>9.5</v>
      </c>
      <c r="D25" s="143">
        <v>0</v>
      </c>
      <c r="E25" s="116">
        <f t="shared" si="1"/>
        <v>19</v>
      </c>
      <c r="F25" s="833">
        <f>'1461'!F25:G25</f>
        <v>5.992</v>
      </c>
      <c r="G25" s="833"/>
      <c r="H25" s="80">
        <f t="shared" si="2"/>
        <v>113.848</v>
      </c>
      <c r="I25" s="101">
        <f t="shared" si="3"/>
        <v>631683.80000000005</v>
      </c>
      <c r="N25" s="834" t="s">
        <v>84</v>
      </c>
      <c r="O25" s="834"/>
      <c r="P25" s="831">
        <f t="shared" si="0"/>
        <v>19</v>
      </c>
      <c r="Q25" s="831"/>
      <c r="R25" s="835">
        <v>1</v>
      </c>
      <c r="S25" s="835"/>
      <c r="T25" s="95">
        <f t="shared" si="4"/>
        <v>19</v>
      </c>
      <c r="U25" s="524">
        <f t="shared" si="5"/>
        <v>105421.2</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190.5</v>
      </c>
      <c r="D30" s="94">
        <f>SUM(D14:D29)</f>
        <v>0</v>
      </c>
      <c r="E30" s="94">
        <f>SUM(E14:E29)</f>
        <v>381</v>
      </c>
      <c r="F30" s="792"/>
      <c r="G30" s="792"/>
      <c r="H30" s="99">
        <f>SUM(H14:H29)</f>
        <v>1262.4690000000001</v>
      </c>
      <c r="I30" s="94">
        <f>SUM(I14:I29)</f>
        <v>7004789.0199999996</v>
      </c>
      <c r="N30" s="838" t="s">
        <v>5</v>
      </c>
      <c r="O30" s="838"/>
      <c r="P30" s="839">
        <f>SUM(P14:P29)</f>
        <v>381</v>
      </c>
      <c r="Q30" s="839"/>
      <c r="R30" s="840"/>
      <c r="S30" s="840"/>
      <c r="T30" s="100">
        <f>SUM(T14:T29)</f>
        <v>381</v>
      </c>
      <c r="U30" s="524">
        <f>SUM(U14:U29)</f>
        <v>2113972.4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1262.4690000000001</v>
      </c>
      <c r="F46" s="34"/>
      <c r="G46" s="106"/>
      <c r="H46" s="107" t="s">
        <v>98</v>
      </c>
      <c r="I46" s="94">
        <f>SUM(I44,I30)</f>
        <v>7004789.0199999996</v>
      </c>
      <c r="N46" s="846" t="s">
        <v>44</v>
      </c>
      <c r="O46" s="846"/>
      <c r="P46" s="846"/>
      <c r="Q46" s="846"/>
      <c r="R46" s="35">
        <f>R44+T30</f>
        <v>381</v>
      </c>
      <c r="S46" s="840" t="s">
        <v>42</v>
      </c>
      <c r="T46" s="840"/>
      <c r="U46" s="108">
        <f>SUM(U44,U30)</f>
        <v>2113972.4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7171690.2000000002</v>
      </c>
      <c r="G51" s="109" t="s">
        <v>6</v>
      </c>
      <c r="H51" s="453">
        <v>5.5899999999999998E-2</v>
      </c>
      <c r="I51" s="101">
        <f>ROUND(F51*H51,2)</f>
        <v>400897.48</v>
      </c>
      <c r="N51" s="458"/>
      <c r="O51" s="459" t="s">
        <v>576</v>
      </c>
      <c r="P51" s="28"/>
      <c r="Q51" s="44" t="s">
        <v>461</v>
      </c>
      <c r="R51" s="460">
        <f>U30</f>
        <v>2113972.4</v>
      </c>
      <c r="S51" s="461" t="s">
        <v>6</v>
      </c>
      <c r="T51" s="462">
        <v>5.5899999999999998E-2</v>
      </c>
      <c r="U51" s="454">
        <f>ROUND(R51*T51,2)</f>
        <v>118171.06</v>
      </c>
    </row>
    <row r="52" spans="1:22" x14ac:dyDescent="0.25">
      <c r="A52" s="26"/>
      <c r="B52" s="618" t="s">
        <v>580</v>
      </c>
      <c r="C52" s="26"/>
      <c r="D52" s="26"/>
      <c r="E52" s="43" t="s">
        <v>461</v>
      </c>
      <c r="F52" s="452">
        <v>7171690.2000000002</v>
      </c>
      <c r="G52" s="109" t="s">
        <v>6</v>
      </c>
      <c r="H52" s="453">
        <v>1.0699999999999999E-2</v>
      </c>
      <c r="I52" s="101">
        <f>ROUND(F52*H52,2)</f>
        <v>76737.09</v>
      </c>
      <c r="N52" s="28"/>
      <c r="O52" s="619" t="s">
        <v>579</v>
      </c>
      <c r="P52" s="28"/>
      <c r="Q52" s="44" t="s">
        <v>461</v>
      </c>
      <c r="R52" s="460">
        <f>U30</f>
        <v>2113972.4</v>
      </c>
      <c r="S52" s="461" t="s">
        <v>6</v>
      </c>
      <c r="T52" s="462">
        <v>1.0699999999999999E-2</v>
      </c>
      <c r="U52" s="463">
        <f>ROUND(R52*T52,2)</f>
        <v>22619.5</v>
      </c>
    </row>
    <row r="53" spans="1:22" x14ac:dyDescent="0.25">
      <c r="A53" s="26"/>
      <c r="B53" s="81" t="s">
        <v>462</v>
      </c>
      <c r="C53" s="26"/>
      <c r="D53" s="26"/>
      <c r="E53" s="43"/>
      <c r="F53" s="452"/>
      <c r="G53" s="109"/>
      <c r="H53" s="453"/>
      <c r="I53" s="97">
        <f>SUM(I51:I52)</f>
        <v>477634.56999999995</v>
      </c>
      <c r="N53" s="28"/>
      <c r="O53" s="435" t="s">
        <v>462</v>
      </c>
      <c r="P53" s="28"/>
      <c r="Q53" s="44"/>
      <c r="R53" s="460"/>
      <c r="S53" s="461"/>
      <c r="T53" s="462"/>
      <c r="U53" s="454">
        <f>SUM(U51:U52)</f>
        <v>140790.56</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0.5</v>
      </c>
      <c r="D57" s="143">
        <v>0</v>
      </c>
      <c r="E57" s="116">
        <f t="shared" ref="E57:E65" si="10">IF(D$66=0,C57*2,C57+D57)</f>
        <v>1</v>
      </c>
      <c r="F57" s="494" t="s">
        <v>498</v>
      </c>
      <c r="G57" s="494">
        <v>251</v>
      </c>
      <c r="H57" s="508">
        <f>'1461'!H57</f>
        <v>1047</v>
      </c>
      <c r="I57" s="101">
        <f>ROUND(E57*H57,2)</f>
        <v>1047</v>
      </c>
      <c r="N57" s="848" t="s">
        <v>506</v>
      </c>
      <c r="O57" s="848"/>
      <c r="P57" s="850"/>
      <c r="Q57" s="850"/>
      <c r="R57" s="500" t="s">
        <v>498</v>
      </c>
      <c r="S57" s="500">
        <v>251</v>
      </c>
      <c r="T57" s="511">
        <f>H57</f>
        <v>1047</v>
      </c>
      <c r="U57" s="525">
        <f>ROUND(P57*T57,2)</f>
        <v>0</v>
      </c>
      <c r="V57" s="475"/>
    </row>
    <row r="58" spans="1:22" x14ac:dyDescent="0.25">
      <c r="A58" s="799"/>
      <c r="B58" s="799"/>
      <c r="C58" s="143">
        <v>0.5</v>
      </c>
      <c r="D58" s="143">
        <v>0</v>
      </c>
      <c r="E58" s="116">
        <f t="shared" si="10"/>
        <v>1</v>
      </c>
      <c r="F58" s="494" t="s">
        <v>498</v>
      </c>
      <c r="G58" s="494">
        <v>252</v>
      </c>
      <c r="H58" s="508">
        <f>'1461'!H58</f>
        <v>3380</v>
      </c>
      <c r="I58" s="101">
        <f t="shared" ref="I58:I65" si="11">ROUND(E58*H58,2)</f>
        <v>3380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9.5</v>
      </c>
      <c r="D59" s="143">
        <v>0</v>
      </c>
      <c r="E59" s="116">
        <f t="shared" si="10"/>
        <v>19</v>
      </c>
      <c r="F59" s="494" t="s">
        <v>498</v>
      </c>
      <c r="G59" s="494">
        <v>253</v>
      </c>
      <c r="H59" s="508">
        <f>'1461'!H59</f>
        <v>6896</v>
      </c>
      <c r="I59" s="101">
        <f t="shared" si="11"/>
        <v>131024</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1</v>
      </c>
      <c r="D61" s="143">
        <v>0</v>
      </c>
      <c r="E61" s="116">
        <f t="shared" si="10"/>
        <v>2</v>
      </c>
      <c r="F61" s="495" t="s">
        <v>13</v>
      </c>
      <c r="G61" s="494">
        <v>252</v>
      </c>
      <c r="H61" s="508">
        <f>'1461'!H61</f>
        <v>3506</v>
      </c>
      <c r="I61" s="101">
        <f t="shared" si="11"/>
        <v>7012</v>
      </c>
      <c r="N61" s="849"/>
      <c r="O61" s="849"/>
      <c r="P61" s="851"/>
      <c r="Q61" s="851"/>
      <c r="R61" s="40" t="s">
        <v>13</v>
      </c>
      <c r="S61" s="500">
        <v>252</v>
      </c>
      <c r="T61" s="511">
        <f t="shared" si="12"/>
        <v>3506</v>
      </c>
      <c r="U61" s="525">
        <f t="shared" si="13"/>
        <v>0</v>
      </c>
      <c r="V61" s="475"/>
    </row>
    <row r="62" spans="1:22" x14ac:dyDescent="0.25">
      <c r="A62" s="799"/>
      <c r="B62" s="799"/>
      <c r="C62" s="143">
        <v>12</v>
      </c>
      <c r="D62" s="143">
        <v>0</v>
      </c>
      <c r="E62" s="116">
        <f>IF(D$66=0,C62*2,C62+D62)</f>
        <v>24</v>
      </c>
      <c r="F62" s="495" t="s">
        <v>13</v>
      </c>
      <c r="G62" s="494">
        <v>253</v>
      </c>
      <c r="H62" s="508">
        <f>'1461'!H62</f>
        <v>7023</v>
      </c>
      <c r="I62" s="101">
        <f t="shared" si="11"/>
        <v>168552</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2</v>
      </c>
      <c r="D64" s="143">
        <v>0</v>
      </c>
      <c r="E64" s="116">
        <f t="shared" si="10"/>
        <v>4</v>
      </c>
      <c r="F64" s="495" t="s">
        <v>14</v>
      </c>
      <c r="G64" s="494">
        <v>252</v>
      </c>
      <c r="H64" s="508">
        <f>'1461'!H64</f>
        <v>3168</v>
      </c>
      <c r="I64" s="101">
        <f t="shared" si="11"/>
        <v>12672</v>
      </c>
      <c r="N64" s="849"/>
      <c r="O64" s="849"/>
      <c r="P64" s="851"/>
      <c r="Q64" s="851"/>
      <c r="R64" s="40" t="s">
        <v>14</v>
      </c>
      <c r="S64" s="500">
        <v>252</v>
      </c>
      <c r="T64" s="511">
        <f t="shared" si="12"/>
        <v>3168</v>
      </c>
      <c r="U64" s="525">
        <f t="shared" si="13"/>
        <v>0</v>
      </c>
      <c r="V64" s="475"/>
    </row>
    <row r="65" spans="1:22" ht="16.5" thickBot="1" x14ac:dyDescent="0.3">
      <c r="A65" s="799"/>
      <c r="B65" s="799"/>
      <c r="C65" s="143">
        <v>31.5</v>
      </c>
      <c r="D65" s="143">
        <v>0</v>
      </c>
      <c r="E65" s="116">
        <f t="shared" si="10"/>
        <v>63</v>
      </c>
      <c r="F65" s="495" t="s">
        <v>14</v>
      </c>
      <c r="G65" s="494">
        <v>253</v>
      </c>
      <c r="H65" s="508">
        <f>'1461'!H65</f>
        <v>6685</v>
      </c>
      <c r="I65" s="101">
        <f t="shared" si="11"/>
        <v>421155</v>
      </c>
      <c r="N65" s="849"/>
      <c r="O65" s="849"/>
      <c r="P65" s="857"/>
      <c r="Q65" s="857"/>
      <c r="R65" s="40" t="s">
        <v>14</v>
      </c>
      <c r="S65" s="500">
        <v>253</v>
      </c>
      <c r="T65" s="511">
        <f t="shared" si="12"/>
        <v>6685</v>
      </c>
      <c r="U65" s="526">
        <f t="shared" si="13"/>
        <v>0</v>
      </c>
      <c r="V65" s="475"/>
    </row>
    <row r="66" spans="1:22" ht="16.5" thickBot="1" x14ac:dyDescent="0.3">
      <c r="A66" s="491"/>
      <c r="C66" s="97">
        <f>SUM(C57:C65)</f>
        <v>57</v>
      </c>
      <c r="D66" s="97">
        <f>SUM(D57:D65)</f>
        <v>0</v>
      </c>
      <c r="E66" s="97">
        <f>SUM(E57:E65)</f>
        <v>114</v>
      </c>
      <c r="F66" s="800" t="s">
        <v>507</v>
      </c>
      <c r="G66" s="800"/>
      <c r="H66" s="800"/>
      <c r="I66" s="97">
        <f>SUM(I57:I65)</f>
        <v>744842</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381</v>
      </c>
      <c r="D69" s="775" t="s">
        <v>474</v>
      </c>
      <c r="E69" s="775"/>
      <c r="F69" s="775"/>
      <c r="G69" s="775"/>
      <c r="H69" s="299">
        <f>'1461'!H69</f>
        <v>210935.24</v>
      </c>
      <c r="I69" s="113"/>
      <c r="N69" s="853" t="s">
        <v>467</v>
      </c>
      <c r="O69" s="834"/>
      <c r="P69" s="41">
        <f>P30</f>
        <v>381</v>
      </c>
      <c r="Q69" s="854" t="s">
        <v>469</v>
      </c>
      <c r="R69" s="855"/>
      <c r="S69" s="855"/>
      <c r="T69" s="856">
        <f>H69</f>
        <v>210935.24</v>
      </c>
      <c r="U69" s="856"/>
    </row>
    <row r="70" spans="1:22" x14ac:dyDescent="0.25">
      <c r="B70" s="69"/>
      <c r="G70" s="42" t="s">
        <v>12</v>
      </c>
      <c r="H70" s="114">
        <f>ROUND(C69/H69,6)</f>
        <v>1.8060000000000001E-3</v>
      </c>
      <c r="I70" s="115"/>
      <c r="N70" s="834"/>
      <c r="O70" s="834"/>
      <c r="P70" s="834"/>
      <c r="Q70" s="834"/>
      <c r="R70" s="834"/>
      <c r="S70" s="834"/>
      <c r="T70" s="852">
        <f>ROUND(P69/T69,6)</f>
        <v>1.8060000000000001E-3</v>
      </c>
      <c r="U70" s="852"/>
    </row>
    <row r="71" spans="1:22" x14ac:dyDescent="0.25">
      <c r="A71" s="493" t="s">
        <v>510</v>
      </c>
      <c r="N71" s="504" t="s">
        <v>518</v>
      </c>
      <c r="O71" s="51"/>
      <c r="P71" s="51"/>
      <c r="Q71" s="51"/>
      <c r="R71" s="51"/>
      <c r="S71" s="51"/>
      <c r="T71" s="51"/>
      <c r="U71" s="51"/>
    </row>
    <row r="72" spans="1:22" x14ac:dyDescent="0.25">
      <c r="A72" s="794" t="s">
        <v>464</v>
      </c>
      <c r="B72" s="788"/>
      <c r="C72" s="112">
        <f>H30</f>
        <v>1262.4690000000001</v>
      </c>
      <c r="D72" s="775" t="s">
        <v>475</v>
      </c>
      <c r="E72" s="775"/>
      <c r="F72" s="775"/>
      <c r="G72" s="775"/>
      <c r="H72" s="300">
        <f>'1461'!H72</f>
        <v>237601.62</v>
      </c>
      <c r="I72" s="116"/>
      <c r="N72" s="853" t="s">
        <v>468</v>
      </c>
      <c r="O72" s="834"/>
      <c r="P72" s="41">
        <f>T30</f>
        <v>381</v>
      </c>
      <c r="Q72" s="854" t="s">
        <v>470</v>
      </c>
      <c r="R72" s="855"/>
      <c r="S72" s="855"/>
      <c r="T72" s="856">
        <f>H72</f>
        <v>237601.62</v>
      </c>
      <c r="U72" s="856"/>
    </row>
    <row r="73" spans="1:22" x14ac:dyDescent="0.25">
      <c r="G73" s="42" t="s">
        <v>12</v>
      </c>
      <c r="H73" s="114">
        <f>ROUND(C72/H72,6)</f>
        <v>5.313E-3</v>
      </c>
      <c r="I73" s="114"/>
      <c r="N73" s="834"/>
      <c r="O73" s="834"/>
      <c r="P73" s="834"/>
      <c r="Q73" s="834"/>
      <c r="R73" s="834"/>
      <c r="S73" s="834"/>
      <c r="T73" s="852">
        <f>ROUND(P72/T72,6)</f>
        <v>1.604E-3</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381</v>
      </c>
      <c r="D75" s="767" t="s">
        <v>476</v>
      </c>
      <c r="E75" s="767"/>
      <c r="F75" s="767"/>
      <c r="G75" s="767"/>
      <c r="H75" s="299">
        <f>'1461'!H75</f>
        <v>186826.74</v>
      </c>
      <c r="I75" s="113"/>
      <c r="N75" s="853" t="s">
        <v>466</v>
      </c>
      <c r="O75" s="834"/>
      <c r="P75" s="41">
        <f>P30</f>
        <v>381</v>
      </c>
      <c r="Q75" s="861" t="s">
        <v>471</v>
      </c>
      <c r="R75" s="862"/>
      <c r="S75" s="862"/>
      <c r="T75" s="856">
        <f>H75</f>
        <v>186826.74</v>
      </c>
      <c r="U75" s="856"/>
    </row>
    <row r="76" spans="1:22" x14ac:dyDescent="0.25">
      <c r="B76" s="69"/>
      <c r="G76" s="42" t="s">
        <v>12</v>
      </c>
      <c r="H76" s="114">
        <f>ROUND(C75/H75,6)</f>
        <v>2.039E-3</v>
      </c>
      <c r="I76" s="115"/>
      <c r="N76" s="834"/>
      <c r="O76" s="834"/>
      <c r="P76" s="834"/>
      <c r="Q76" s="834"/>
      <c r="R76" s="834"/>
      <c r="S76" s="834"/>
      <c r="T76" s="852">
        <f>ROUND(P75/T75,6)</f>
        <v>2.039E-3</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381</v>
      </c>
      <c r="D78" s="795" t="s">
        <v>477</v>
      </c>
      <c r="E78" s="795"/>
      <c r="F78" s="795"/>
      <c r="G78" s="795"/>
      <c r="H78" s="299">
        <f>'1461'!H78</f>
        <v>210630.63</v>
      </c>
      <c r="I78" s="113"/>
      <c r="N78" s="853" t="s">
        <v>466</v>
      </c>
      <c r="O78" s="834"/>
      <c r="P78" s="41">
        <f>P30</f>
        <v>381</v>
      </c>
      <c r="Q78" s="859" t="s">
        <v>472</v>
      </c>
      <c r="R78" s="860"/>
      <c r="S78" s="860"/>
      <c r="T78" s="856">
        <f>H78</f>
        <v>210630.63</v>
      </c>
      <c r="U78" s="856"/>
    </row>
    <row r="79" spans="1:22" x14ac:dyDescent="0.25">
      <c r="B79" s="69"/>
      <c r="G79" s="42" t="s">
        <v>12</v>
      </c>
      <c r="H79" s="114">
        <f>ROUND(C78/H78,6)</f>
        <v>1.8090000000000001E-3</v>
      </c>
      <c r="I79" s="115"/>
      <c r="N79" s="834"/>
      <c r="O79" s="834"/>
      <c r="P79" s="834"/>
      <c r="Q79" s="834"/>
      <c r="R79" s="834"/>
      <c r="S79" s="834"/>
      <c r="T79" s="852">
        <f>ROUND(P78/T78,6)</f>
        <v>1.8090000000000001E-3</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381</v>
      </c>
      <c r="D81" s="767" t="s">
        <v>478</v>
      </c>
      <c r="E81" s="767"/>
      <c r="F81" s="767"/>
      <c r="G81" s="767"/>
      <c r="H81" s="299">
        <f>'1461'!H81</f>
        <v>186522.13</v>
      </c>
      <c r="I81" s="113"/>
      <c r="N81" s="853" t="s">
        <v>479</v>
      </c>
      <c r="O81" s="834"/>
      <c r="P81" s="41">
        <f>P30</f>
        <v>381</v>
      </c>
      <c r="Q81" s="861" t="s">
        <v>480</v>
      </c>
      <c r="R81" s="862"/>
      <c r="S81" s="862"/>
      <c r="T81" s="856">
        <f>H81</f>
        <v>186522.13</v>
      </c>
      <c r="U81" s="856"/>
    </row>
    <row r="82" spans="1:21" x14ac:dyDescent="0.25">
      <c r="B82" s="69"/>
      <c r="G82" s="42" t="s">
        <v>12</v>
      </c>
      <c r="H82" s="114">
        <f>ROUND(C81/H81,6)</f>
        <v>2.0430000000000001E-3</v>
      </c>
      <c r="I82" s="115"/>
      <c r="N82" s="834"/>
      <c r="O82" s="834"/>
      <c r="P82" s="834"/>
      <c r="Q82" s="834"/>
      <c r="R82" s="834"/>
      <c r="S82" s="834"/>
      <c r="T82" s="852">
        <f>ROUND(P81/T81,6)</f>
        <v>2.0430000000000001E-3</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1.8090000000000001E-3</v>
      </c>
      <c r="I85" s="101">
        <f>ROUND(F85*H85,2)</f>
        <v>83759.81</v>
      </c>
      <c r="N85" s="504" t="s">
        <v>514</v>
      </c>
      <c r="O85" s="51"/>
      <c r="P85" s="51"/>
      <c r="Q85" s="44"/>
      <c r="R85" s="470">
        <f>F85</f>
        <v>46301717</v>
      </c>
      <c r="S85" s="38" t="s">
        <v>6</v>
      </c>
      <c r="T85" s="472">
        <f>T79</f>
        <v>1.8090000000000001E-3</v>
      </c>
      <c r="U85" s="524">
        <f>ROUND(R85*T85,2)</f>
        <v>83759.81</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1.8060000000000001E-3</v>
      </c>
      <c r="I88" s="101">
        <f>ROUND(F88*H88,2)</f>
        <v>0</v>
      </c>
      <c r="N88" s="863" t="s">
        <v>99</v>
      </c>
      <c r="O88" s="834"/>
      <c r="P88" s="834"/>
      <c r="Q88" s="44"/>
      <c r="R88" s="470">
        <f>F88</f>
        <v>0</v>
      </c>
      <c r="S88" s="38" t="s">
        <v>6</v>
      </c>
      <c r="T88" s="472">
        <f>T70</f>
        <v>1.8060000000000001E-3</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2.0430000000000001E-3</v>
      </c>
      <c r="I90" s="101">
        <f>ROUND(F90*H90,2)</f>
        <v>39074.19</v>
      </c>
      <c r="N90" s="504" t="s">
        <v>515</v>
      </c>
      <c r="O90" s="51"/>
      <c r="P90" s="51"/>
      <c r="Q90" s="44"/>
      <c r="R90" s="470">
        <f>F90</f>
        <v>19125890</v>
      </c>
      <c r="S90" s="38" t="s">
        <v>6</v>
      </c>
      <c r="T90" s="472">
        <f>T82</f>
        <v>2.0430000000000001E-3</v>
      </c>
      <c r="U90" s="524">
        <f>ROUND(R90*T90,2)</f>
        <v>39074.19</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2.039E-3</v>
      </c>
      <c r="I92" s="101">
        <f t="shared" ref="I92:I96" si="14">ROUND(F92*H92,2)</f>
        <v>23471.67</v>
      </c>
      <c r="N92" s="504" t="s">
        <v>516</v>
      </c>
      <c r="O92" s="51"/>
      <c r="P92" s="51"/>
      <c r="Q92" s="44"/>
      <c r="R92" s="470">
        <f t="shared" ref="R92:R96" si="15">F92</f>
        <v>11511363</v>
      </c>
      <c r="S92" s="38" t="s">
        <v>6</v>
      </c>
      <c r="T92" s="472">
        <f>T76</f>
        <v>2.039E-3</v>
      </c>
      <c r="U92" s="524">
        <f>ROUND(R92*T92,2)</f>
        <v>23471.67</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5.313E-3</v>
      </c>
      <c r="I94" s="101">
        <f t="shared" si="14"/>
        <v>1358835.96</v>
      </c>
      <c r="N94" s="834" t="s">
        <v>482</v>
      </c>
      <c r="O94" s="834"/>
      <c r="P94" s="834"/>
      <c r="Q94" s="44"/>
      <c r="R94" s="470">
        <f t="shared" si="15"/>
        <v>255756816</v>
      </c>
      <c r="S94" s="38" t="s">
        <v>6</v>
      </c>
      <c r="T94" s="472">
        <f>T73</f>
        <v>1.604E-3</v>
      </c>
      <c r="U94" s="524">
        <f>ROUND(R94*T94,2)</f>
        <v>410233.93</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5.313E-3</v>
      </c>
      <c r="I96" s="101">
        <f t="shared" si="14"/>
        <v>-82054.259999999995</v>
      </c>
      <c r="N96" s="853" t="s">
        <v>483</v>
      </c>
      <c r="O96" s="834"/>
      <c r="P96" s="834"/>
      <c r="Q96" s="44"/>
      <c r="R96" s="470">
        <f t="shared" si="15"/>
        <v>-15444055</v>
      </c>
      <c r="S96" s="38" t="s">
        <v>6</v>
      </c>
      <c r="T96" s="472">
        <f>T73</f>
        <v>1.604E-3</v>
      </c>
      <c r="U96" s="524">
        <f>ROUND(R96*T96,2)</f>
        <v>-24772.26</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1.8060000000000001E-3</v>
      </c>
      <c r="I98" s="101">
        <f t="shared" ref="I98" si="16">ROUND(F98*H98,2)</f>
        <v>10152.290000000001</v>
      </c>
      <c r="N98" s="587" t="s">
        <v>556</v>
      </c>
      <c r="O98" s="587"/>
      <c r="P98" s="587"/>
      <c r="Q98" s="44"/>
      <c r="R98" s="590">
        <f>F98</f>
        <v>5621424</v>
      </c>
      <c r="S98" s="588" t="s">
        <v>6</v>
      </c>
      <c r="T98" s="472">
        <f>T70</f>
        <v>1.8060000000000001E-3</v>
      </c>
      <c r="U98" s="524">
        <f>ROUND(R98*T98,2)</f>
        <v>10152.290000000001</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493.23099999999999</v>
      </c>
      <c r="D104" s="806"/>
      <c r="E104" s="46">
        <f>H8</f>
        <v>1.0407999999999999</v>
      </c>
      <c r="F104" s="302">
        <f>'1461'!F104</f>
        <v>950.92</v>
      </c>
      <c r="G104" s="39" t="s">
        <v>12</v>
      </c>
      <c r="H104" s="101">
        <f>ROUND(C104*E104*F104,2)</f>
        <v>488159.37</v>
      </c>
      <c r="I104" s="104"/>
      <c r="N104" s="28" t="s">
        <v>17</v>
      </c>
      <c r="O104" s="47">
        <f>T14+T15+T20+T23+T26</f>
        <v>132</v>
      </c>
      <c r="P104" s="864">
        <f>T8</f>
        <v>1.0407999999999999</v>
      </c>
      <c r="Q104" s="864"/>
      <c r="R104" s="48">
        <f>F104</f>
        <v>950.92</v>
      </c>
      <c r="S104" s="40" t="s">
        <v>12</v>
      </c>
      <c r="T104" s="530">
        <f>ROUND(O104*P104*R104,2)</f>
        <v>130642.71</v>
      </c>
      <c r="U104" s="102"/>
    </row>
    <row r="105" spans="1:21" x14ac:dyDescent="0.25">
      <c r="A105" s="49"/>
      <c r="B105" s="49" t="s">
        <v>104</v>
      </c>
      <c r="C105" s="806">
        <f>H16+H17+H21+H24+H27</f>
        <v>416.10500000000002</v>
      </c>
      <c r="D105" s="806"/>
      <c r="E105" s="46">
        <f>H8</f>
        <v>1.0407999999999999</v>
      </c>
      <c r="F105" s="302">
        <f>'1461'!F105</f>
        <v>907.92</v>
      </c>
      <c r="G105" s="39" t="s">
        <v>12</v>
      </c>
      <c r="H105" s="101">
        <f>ROUND(C105*E105*F105,2)</f>
        <v>393203.89</v>
      </c>
      <c r="N105" s="50" t="s">
        <v>13</v>
      </c>
      <c r="O105" s="47">
        <f>T16+T17+T21+T24+T27</f>
        <v>116</v>
      </c>
      <c r="P105" s="864">
        <f>T8</f>
        <v>1.0407999999999999</v>
      </c>
      <c r="Q105" s="864"/>
      <c r="R105" s="48">
        <f>F105</f>
        <v>907.92</v>
      </c>
      <c r="S105" s="40" t="s">
        <v>12</v>
      </c>
      <c r="T105" s="530">
        <f>ROUND(O105*P105*R105,2)</f>
        <v>109615.72</v>
      </c>
      <c r="U105" s="51"/>
    </row>
    <row r="106" spans="1:21" ht="16.5" thickBot="1" x14ac:dyDescent="0.3">
      <c r="A106" s="52"/>
      <c r="B106" s="52" t="s">
        <v>103</v>
      </c>
      <c r="C106" s="806">
        <f>H18+H19+H22+H25+H28+H29</f>
        <v>353.13299999999998</v>
      </c>
      <c r="D106" s="806"/>
      <c r="E106" s="46">
        <f>H8</f>
        <v>1.0407999999999999</v>
      </c>
      <c r="F106" s="302">
        <f>'1461'!F106</f>
        <v>910.12</v>
      </c>
      <c r="G106" s="39" t="s">
        <v>12</v>
      </c>
      <c r="H106" s="94">
        <f>ROUND(C106*E106*F106,2)</f>
        <v>334506.26</v>
      </c>
      <c r="N106" s="53" t="s">
        <v>14</v>
      </c>
      <c r="O106" s="54">
        <f>T18+T19+T22+T25+T28+T29</f>
        <v>133</v>
      </c>
      <c r="P106" s="864">
        <f>T8</f>
        <v>1.0407999999999999</v>
      </c>
      <c r="Q106" s="864"/>
      <c r="R106" s="48">
        <f>F106</f>
        <v>910.12</v>
      </c>
      <c r="S106" s="40" t="s">
        <v>12</v>
      </c>
      <c r="T106" s="530">
        <f>ROUND(O106*P106*R106,2)</f>
        <v>125984.64</v>
      </c>
      <c r="U106" s="51"/>
    </row>
    <row r="107" spans="1:21" ht="16.5" thickBot="1" x14ac:dyDescent="0.3">
      <c r="A107" s="55"/>
      <c r="B107" s="122" t="s">
        <v>102</v>
      </c>
      <c r="C107" s="796">
        <f>SUM(C104:C106)</f>
        <v>1262.4690000000001</v>
      </c>
      <c r="D107" s="796"/>
      <c r="E107" s="123"/>
      <c r="F107" s="123"/>
      <c r="G107" s="123"/>
      <c r="H107" s="124" t="s">
        <v>100</v>
      </c>
      <c r="I107" s="101">
        <f>IF(A1=75,0,H106+H105+H104)</f>
        <v>1215869.52</v>
      </c>
      <c r="N107" s="56" t="s">
        <v>89</v>
      </c>
      <c r="O107" s="57">
        <f>SUM(O104:O106)</f>
        <v>381</v>
      </c>
      <c r="P107" s="870" t="s">
        <v>16</v>
      </c>
      <c r="Q107" s="871"/>
      <c r="R107" s="871"/>
      <c r="S107" s="871"/>
      <c r="T107" s="871"/>
      <c r="U107" s="524">
        <f>IF(N1=75,0,T106+T105+T104)</f>
        <v>366243.07</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1</v>
      </c>
      <c r="D114" s="143">
        <v>0</v>
      </c>
      <c r="E114" s="116">
        <f>C114</f>
        <v>1</v>
      </c>
      <c r="F114" s="126" t="s">
        <v>30</v>
      </c>
      <c r="G114" s="303">
        <f>'1461'!G114</f>
        <v>1842</v>
      </c>
      <c r="I114" s="101">
        <f>ROUND(G114*E114,2)</f>
        <v>1842</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10400582.199999997</v>
      </c>
      <c r="N128" s="504"/>
      <c r="O128" s="503"/>
      <c r="P128" s="503"/>
      <c r="Q128" s="305"/>
      <c r="R128" s="305"/>
      <c r="S128" s="305"/>
      <c r="T128" s="305"/>
      <c r="U128" s="531">
        <f>SUM(U30,U85,U88,U90,U92,U94,U96,U107,U113,U114,U124,U126)</f>
        <v>3011982.81</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9922947.6299999971</v>
      </c>
      <c r="N130" s="834" t="s">
        <v>494</v>
      </c>
      <c r="O130" s="834"/>
      <c r="P130" s="834"/>
      <c r="Q130" s="834"/>
      <c r="R130" s="834"/>
      <c r="S130" s="834"/>
      <c r="T130" s="834"/>
      <c r="U130" s="522">
        <f>U128-U53</f>
        <v>2871192.25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f>IF(E30=0,"",IF((E15+E17+SUM(E19:E25))/E30&gt;0.75,1,""))</f>
        <v>1</v>
      </c>
      <c r="I133" s="116">
        <f>U130</f>
        <v>2871192.25</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2871192.25</v>
      </c>
      <c r="I135" s="94">
        <f>ROUND(IF(E30=0,0,IF(E30&gt;250,-(((250/E30)*H135)*IF(G135="H",0.02,0.05)),IF(G135="H",-0.02*H135,-0.05*H135))),2)</f>
        <v>-94199.22</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10306382.979999997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Payments'!Q79</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10306382.979999997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858865.25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49360.392500000016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363</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4.5</v>
      </c>
      <c r="D19" s="143">
        <v>0</v>
      </c>
      <c r="E19" s="116">
        <f t="shared" si="1"/>
        <v>9</v>
      </c>
      <c r="F19" s="833">
        <f>'1461'!F19:G19</f>
        <v>0.97799999999999998</v>
      </c>
      <c r="G19" s="833"/>
      <c r="H19" s="80">
        <f t="shared" si="2"/>
        <v>8.8019999999999996</v>
      </c>
      <c r="I19" s="101">
        <f t="shared" si="3"/>
        <v>48837.760000000002</v>
      </c>
      <c r="J19" s="65" t="str">
        <f>IF(ROUND(E19,2)=ROUND(SUM(E63:E65),2)," ","CHECK 4-8 LINES BELOW")</f>
        <v xml:space="preserve"> </v>
      </c>
      <c r="N19" s="834" t="s">
        <v>25</v>
      </c>
      <c r="O19" s="834"/>
      <c r="P19" s="831">
        <f t="shared" si="0"/>
        <v>9</v>
      </c>
      <c r="Q19" s="831"/>
      <c r="R19" s="835">
        <v>1</v>
      </c>
      <c r="S19" s="835"/>
      <c r="T19" s="95">
        <f t="shared" si="4"/>
        <v>9</v>
      </c>
      <c r="U19" s="523">
        <f t="shared" si="5"/>
        <v>49936.36</v>
      </c>
    </row>
    <row r="20" spans="1:21" x14ac:dyDescent="0.25">
      <c r="A20" s="788" t="s">
        <v>79</v>
      </c>
      <c r="B20" s="788"/>
      <c r="C20" s="143">
        <v>3</v>
      </c>
      <c r="D20" s="143">
        <v>0</v>
      </c>
      <c r="E20" s="116">
        <f t="shared" si="1"/>
        <v>6</v>
      </c>
      <c r="F20" s="833">
        <f>'1461'!F20:G20</f>
        <v>3.6970000000000001</v>
      </c>
      <c r="G20" s="833"/>
      <c r="H20" s="80">
        <f t="shared" si="2"/>
        <v>22.181999999999999</v>
      </c>
      <c r="I20" s="101">
        <f t="shared" si="3"/>
        <v>123076.47</v>
      </c>
      <c r="N20" s="834" t="s">
        <v>79</v>
      </c>
      <c r="O20" s="834"/>
      <c r="P20" s="831">
        <f t="shared" si="0"/>
        <v>6</v>
      </c>
      <c r="Q20" s="831"/>
      <c r="R20" s="835">
        <v>1</v>
      </c>
      <c r="S20" s="835"/>
      <c r="T20" s="95">
        <f t="shared" si="4"/>
        <v>6</v>
      </c>
      <c r="U20" s="524">
        <f t="shared" si="5"/>
        <v>33290.9</v>
      </c>
    </row>
    <row r="21" spans="1:21" x14ac:dyDescent="0.25">
      <c r="A21" s="788" t="s">
        <v>80</v>
      </c>
      <c r="B21" s="788"/>
      <c r="C21" s="143">
        <v>8.5</v>
      </c>
      <c r="D21" s="143">
        <v>0</v>
      </c>
      <c r="E21" s="116">
        <f t="shared" si="1"/>
        <v>17</v>
      </c>
      <c r="F21" s="833">
        <f>'1461'!F21:G21</f>
        <v>3.6970000000000001</v>
      </c>
      <c r="G21" s="833"/>
      <c r="H21" s="80">
        <f t="shared" si="2"/>
        <v>62.848999999999997</v>
      </c>
      <c r="I21" s="101">
        <f t="shared" si="3"/>
        <v>348716.67</v>
      </c>
      <c r="N21" s="834" t="s">
        <v>80</v>
      </c>
      <c r="O21" s="834"/>
      <c r="P21" s="831">
        <f t="shared" si="0"/>
        <v>17</v>
      </c>
      <c r="Q21" s="831"/>
      <c r="R21" s="835">
        <v>1</v>
      </c>
      <c r="S21" s="835"/>
      <c r="T21" s="95">
        <f t="shared" si="4"/>
        <v>17</v>
      </c>
      <c r="U21" s="524">
        <f t="shared" si="5"/>
        <v>94324.23</v>
      </c>
    </row>
    <row r="22" spans="1:21" x14ac:dyDescent="0.25">
      <c r="A22" s="788" t="s">
        <v>81</v>
      </c>
      <c r="B22" s="788"/>
      <c r="C22" s="143">
        <v>22</v>
      </c>
      <c r="D22" s="143">
        <v>0</v>
      </c>
      <c r="E22" s="116">
        <f t="shared" si="1"/>
        <v>44</v>
      </c>
      <c r="F22" s="833">
        <f>'1461'!F22:G22</f>
        <v>3.6970000000000001</v>
      </c>
      <c r="G22" s="833"/>
      <c r="H22" s="80">
        <f t="shared" si="2"/>
        <v>162.66800000000001</v>
      </c>
      <c r="I22" s="101">
        <f t="shared" si="3"/>
        <v>902560.79</v>
      </c>
      <c r="N22" s="834" t="s">
        <v>81</v>
      </c>
      <c r="O22" s="834"/>
      <c r="P22" s="831">
        <f t="shared" si="0"/>
        <v>44</v>
      </c>
      <c r="Q22" s="831"/>
      <c r="R22" s="835">
        <v>1</v>
      </c>
      <c r="S22" s="835"/>
      <c r="T22" s="95">
        <f t="shared" si="4"/>
        <v>44</v>
      </c>
      <c r="U22" s="524">
        <f t="shared" si="5"/>
        <v>244133.3</v>
      </c>
    </row>
    <row r="23" spans="1:21" x14ac:dyDescent="0.25">
      <c r="A23" s="788" t="s">
        <v>82</v>
      </c>
      <c r="B23" s="788"/>
      <c r="C23" s="143">
        <v>6</v>
      </c>
      <c r="D23" s="143">
        <v>0</v>
      </c>
      <c r="E23" s="116">
        <f t="shared" si="1"/>
        <v>12</v>
      </c>
      <c r="F23" s="833">
        <f>'1461'!F23:G23</f>
        <v>5.992</v>
      </c>
      <c r="G23" s="833"/>
      <c r="H23" s="80">
        <f t="shared" si="2"/>
        <v>71.903999999999996</v>
      </c>
      <c r="I23" s="101">
        <f t="shared" si="3"/>
        <v>398958.19</v>
      </c>
      <c r="N23" s="834" t="s">
        <v>82</v>
      </c>
      <c r="O23" s="834"/>
      <c r="P23" s="831">
        <f t="shared" si="0"/>
        <v>12</v>
      </c>
      <c r="Q23" s="831"/>
      <c r="R23" s="835">
        <v>1</v>
      </c>
      <c r="S23" s="835"/>
      <c r="T23" s="95">
        <f t="shared" si="4"/>
        <v>12</v>
      </c>
      <c r="U23" s="524">
        <f t="shared" si="5"/>
        <v>66581.81</v>
      </c>
    </row>
    <row r="24" spans="1:21" x14ac:dyDescent="0.25">
      <c r="A24" s="788" t="s">
        <v>83</v>
      </c>
      <c r="B24" s="788"/>
      <c r="C24" s="143">
        <v>11</v>
      </c>
      <c r="D24" s="143">
        <v>0</v>
      </c>
      <c r="E24" s="116">
        <f t="shared" si="1"/>
        <v>22</v>
      </c>
      <c r="F24" s="833">
        <f>'1461'!F24:G24</f>
        <v>5.992</v>
      </c>
      <c r="G24" s="833"/>
      <c r="H24" s="80">
        <f t="shared" si="2"/>
        <v>131.82400000000001</v>
      </c>
      <c r="I24" s="101">
        <f t="shared" si="3"/>
        <v>731423.35</v>
      </c>
      <c r="N24" s="834" t="s">
        <v>83</v>
      </c>
      <c r="O24" s="834"/>
      <c r="P24" s="831">
        <f t="shared" si="0"/>
        <v>22</v>
      </c>
      <c r="Q24" s="831"/>
      <c r="R24" s="835">
        <v>1</v>
      </c>
      <c r="S24" s="835"/>
      <c r="T24" s="95">
        <f t="shared" si="4"/>
        <v>22</v>
      </c>
      <c r="U24" s="524">
        <f t="shared" si="5"/>
        <v>122066.65</v>
      </c>
    </row>
    <row r="25" spans="1:21" x14ac:dyDescent="0.25">
      <c r="A25" s="788" t="s">
        <v>84</v>
      </c>
      <c r="B25" s="788"/>
      <c r="C25" s="143">
        <v>25.5</v>
      </c>
      <c r="D25" s="143">
        <v>0</v>
      </c>
      <c r="E25" s="116">
        <f t="shared" si="1"/>
        <v>51</v>
      </c>
      <c r="F25" s="833">
        <f>'1461'!F25:G25</f>
        <v>5.992</v>
      </c>
      <c r="G25" s="833"/>
      <c r="H25" s="80">
        <f t="shared" si="2"/>
        <v>305.59199999999998</v>
      </c>
      <c r="I25" s="101">
        <f t="shared" si="3"/>
        <v>1695572.32</v>
      </c>
      <c r="N25" s="834" t="s">
        <v>84</v>
      </c>
      <c r="O25" s="834"/>
      <c r="P25" s="831">
        <f t="shared" si="0"/>
        <v>51</v>
      </c>
      <c r="Q25" s="831"/>
      <c r="R25" s="835">
        <v>1</v>
      </c>
      <c r="S25" s="835"/>
      <c r="T25" s="95">
        <f t="shared" si="4"/>
        <v>51</v>
      </c>
      <c r="U25" s="524">
        <f t="shared" si="5"/>
        <v>282972.68</v>
      </c>
    </row>
    <row r="26" spans="1:21" x14ac:dyDescent="0.25">
      <c r="A26" s="788" t="s">
        <v>85</v>
      </c>
      <c r="B26" s="788"/>
      <c r="C26" s="143"/>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80.5</v>
      </c>
      <c r="D30" s="94">
        <f>SUM(D14:D29)</f>
        <v>0</v>
      </c>
      <c r="E30" s="94">
        <f>SUM(E14:E29)</f>
        <v>161</v>
      </c>
      <c r="F30" s="792"/>
      <c r="G30" s="792"/>
      <c r="H30" s="99">
        <f>SUM(H14:H29)</f>
        <v>765.82099999999991</v>
      </c>
      <c r="I30" s="94">
        <f>SUM(I14:I29)</f>
        <v>4249145.55</v>
      </c>
      <c r="N30" s="838" t="s">
        <v>5</v>
      </c>
      <c r="O30" s="838"/>
      <c r="P30" s="839">
        <f>SUM(P14:P29)</f>
        <v>161</v>
      </c>
      <c r="Q30" s="839"/>
      <c r="R30" s="840"/>
      <c r="S30" s="840"/>
      <c r="T30" s="100">
        <f>SUM(T14:T29)</f>
        <v>161</v>
      </c>
      <c r="U30" s="524">
        <f>SUM(U14:U29)</f>
        <v>893305.92999999993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765.82099999999991</v>
      </c>
      <c r="F46" s="34"/>
      <c r="G46" s="106"/>
      <c r="H46" s="107" t="s">
        <v>98</v>
      </c>
      <c r="I46" s="94">
        <f>SUM(I44,I30)</f>
        <v>4249145.55</v>
      </c>
      <c r="N46" s="846" t="s">
        <v>44</v>
      </c>
      <c r="O46" s="846"/>
      <c r="P46" s="846"/>
      <c r="Q46" s="846"/>
      <c r="R46" s="35">
        <f>R44+T30</f>
        <v>161</v>
      </c>
      <c r="S46" s="840" t="s">
        <v>42</v>
      </c>
      <c r="T46" s="840"/>
      <c r="U46" s="108">
        <f>SUM(U44,U30)</f>
        <v>893305.92999999993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3649443.7699999996</v>
      </c>
      <c r="G51" s="109" t="s">
        <v>6</v>
      </c>
      <c r="H51" s="453">
        <v>5.5899999999999998E-2</v>
      </c>
      <c r="I51" s="101">
        <f>ROUND(F51*H51,2)</f>
        <v>204003.91</v>
      </c>
      <c r="N51" s="458"/>
      <c r="O51" s="459" t="s">
        <v>576</v>
      </c>
      <c r="P51" s="28"/>
      <c r="Q51" s="44" t="s">
        <v>461</v>
      </c>
      <c r="R51" s="460">
        <f>U30</f>
        <v>893305.92999999993</v>
      </c>
      <c r="S51" s="461" t="s">
        <v>6</v>
      </c>
      <c r="T51" s="462">
        <v>5.5899999999999998E-2</v>
      </c>
      <c r="U51" s="454">
        <f>ROUND(R51*T51,2)</f>
        <v>49935.8</v>
      </c>
    </row>
    <row r="52" spans="1:22" x14ac:dyDescent="0.25">
      <c r="A52" s="26"/>
      <c r="B52" s="618" t="s">
        <v>580</v>
      </c>
      <c r="C52" s="26"/>
      <c r="D52" s="26"/>
      <c r="E52" s="43" t="s">
        <v>461</v>
      </c>
      <c r="F52" s="452">
        <v>3649443.7699999996</v>
      </c>
      <c r="G52" s="109" t="s">
        <v>6</v>
      </c>
      <c r="H52" s="453">
        <v>1.0699999999999999E-2</v>
      </c>
      <c r="I52" s="101">
        <f>ROUND(F52*H52,2)</f>
        <v>39049.050000000003</v>
      </c>
      <c r="N52" s="28"/>
      <c r="O52" s="619" t="s">
        <v>579</v>
      </c>
      <c r="P52" s="28"/>
      <c r="Q52" s="44" t="s">
        <v>461</v>
      </c>
      <c r="R52" s="460">
        <f>U30</f>
        <v>893305.92999999993</v>
      </c>
      <c r="S52" s="461" t="s">
        <v>6</v>
      </c>
      <c r="T52" s="462">
        <v>1.0699999999999999E-2</v>
      </c>
      <c r="U52" s="463">
        <f>ROUND(R52*T52,2)</f>
        <v>9558.3700000000008</v>
      </c>
    </row>
    <row r="53" spans="1:22" x14ac:dyDescent="0.25">
      <c r="A53" s="26"/>
      <c r="B53" s="81" t="s">
        <v>462</v>
      </c>
      <c r="C53" s="26"/>
      <c r="D53" s="26"/>
      <c r="E53" s="43"/>
      <c r="F53" s="452"/>
      <c r="G53" s="109"/>
      <c r="H53" s="453"/>
      <c r="I53" s="97">
        <f>SUM(I51:I52)</f>
        <v>243052.96000000002</v>
      </c>
      <c r="N53" s="28"/>
      <c r="O53" s="435" t="s">
        <v>462</v>
      </c>
      <c r="P53" s="28"/>
      <c r="Q53" s="44"/>
      <c r="R53" s="460"/>
      <c r="S53" s="461"/>
      <c r="T53" s="462"/>
      <c r="U53" s="454">
        <f>SUM(U51:U52)</f>
        <v>59494.170000000006</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4.5</v>
      </c>
      <c r="D65" s="143">
        <v>0</v>
      </c>
      <c r="E65" s="116">
        <f t="shared" si="10"/>
        <v>9</v>
      </c>
      <c r="F65" s="495" t="s">
        <v>14</v>
      </c>
      <c r="G65" s="494">
        <v>253</v>
      </c>
      <c r="H65" s="508">
        <f>'1461'!H65</f>
        <v>6685</v>
      </c>
      <c r="I65" s="101">
        <f t="shared" si="11"/>
        <v>60165</v>
      </c>
      <c r="N65" s="849"/>
      <c r="O65" s="849"/>
      <c r="P65" s="857"/>
      <c r="Q65" s="857"/>
      <c r="R65" s="40" t="s">
        <v>14</v>
      </c>
      <c r="S65" s="500">
        <v>253</v>
      </c>
      <c r="T65" s="511">
        <f t="shared" si="12"/>
        <v>6685</v>
      </c>
      <c r="U65" s="526">
        <f t="shared" si="13"/>
        <v>0</v>
      </c>
      <c r="V65" s="475"/>
    </row>
    <row r="66" spans="1:22" ht="16.5" thickBot="1" x14ac:dyDescent="0.3">
      <c r="A66" s="491"/>
      <c r="C66" s="97">
        <f>SUM(C57:C65)</f>
        <v>4.5</v>
      </c>
      <c r="D66" s="97">
        <f>SUM(D57:D65)</f>
        <v>0</v>
      </c>
      <c r="E66" s="97">
        <f>SUM(E57:E65)</f>
        <v>9</v>
      </c>
      <c r="F66" s="800" t="s">
        <v>507</v>
      </c>
      <c r="G66" s="800"/>
      <c r="H66" s="800"/>
      <c r="I66" s="97">
        <f>SUM(I57:I65)</f>
        <v>60165</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161</v>
      </c>
      <c r="D69" s="775" t="s">
        <v>474</v>
      </c>
      <c r="E69" s="775"/>
      <c r="F69" s="775"/>
      <c r="G69" s="775"/>
      <c r="H69" s="299">
        <f>'1461'!H69</f>
        <v>210935.24</v>
      </c>
      <c r="I69" s="113"/>
      <c r="N69" s="853" t="s">
        <v>467</v>
      </c>
      <c r="O69" s="834"/>
      <c r="P69" s="41">
        <f>P30</f>
        <v>161</v>
      </c>
      <c r="Q69" s="854" t="s">
        <v>469</v>
      </c>
      <c r="R69" s="855"/>
      <c r="S69" s="855"/>
      <c r="T69" s="856">
        <f>H69</f>
        <v>210935.24</v>
      </c>
      <c r="U69" s="856"/>
    </row>
    <row r="70" spans="1:22" x14ac:dyDescent="0.25">
      <c r="B70" s="69"/>
      <c r="G70" s="42" t="s">
        <v>12</v>
      </c>
      <c r="H70" s="114">
        <f>ROUND(C69/H69,6)</f>
        <v>7.6300000000000001E-4</v>
      </c>
      <c r="I70" s="115"/>
      <c r="N70" s="834"/>
      <c r="O70" s="834"/>
      <c r="P70" s="834"/>
      <c r="Q70" s="834"/>
      <c r="R70" s="834"/>
      <c r="S70" s="834"/>
      <c r="T70" s="852">
        <f>ROUND(P69/T69,6)</f>
        <v>7.6300000000000001E-4</v>
      </c>
      <c r="U70" s="852"/>
    </row>
    <row r="71" spans="1:22" x14ac:dyDescent="0.25">
      <c r="A71" s="493" t="s">
        <v>510</v>
      </c>
      <c r="N71" s="504" t="s">
        <v>518</v>
      </c>
      <c r="O71" s="51"/>
      <c r="P71" s="51"/>
      <c r="Q71" s="51"/>
      <c r="R71" s="51"/>
      <c r="S71" s="51"/>
      <c r="T71" s="51"/>
      <c r="U71" s="51"/>
    </row>
    <row r="72" spans="1:22" x14ac:dyDescent="0.25">
      <c r="A72" s="794" t="s">
        <v>464</v>
      </c>
      <c r="B72" s="788"/>
      <c r="C72" s="112">
        <f>H30</f>
        <v>765.82099999999991</v>
      </c>
      <c r="D72" s="775" t="s">
        <v>475</v>
      </c>
      <c r="E72" s="775"/>
      <c r="F72" s="775"/>
      <c r="G72" s="775"/>
      <c r="H72" s="300">
        <f>'1461'!H72</f>
        <v>237601.62</v>
      </c>
      <c r="I72" s="116"/>
      <c r="N72" s="853" t="s">
        <v>468</v>
      </c>
      <c r="O72" s="834"/>
      <c r="P72" s="41">
        <f>T30</f>
        <v>161</v>
      </c>
      <c r="Q72" s="854" t="s">
        <v>470</v>
      </c>
      <c r="R72" s="855"/>
      <c r="S72" s="855"/>
      <c r="T72" s="856">
        <f>H72</f>
        <v>237601.62</v>
      </c>
      <c r="U72" s="856"/>
    </row>
    <row r="73" spans="1:22" x14ac:dyDescent="0.25">
      <c r="G73" s="42" t="s">
        <v>12</v>
      </c>
      <c r="H73" s="114">
        <f>ROUND(C72/H72,6)</f>
        <v>3.2230000000000002E-3</v>
      </c>
      <c r="I73" s="114"/>
      <c r="N73" s="834"/>
      <c r="O73" s="834"/>
      <c r="P73" s="834"/>
      <c r="Q73" s="834"/>
      <c r="R73" s="834"/>
      <c r="S73" s="834"/>
      <c r="T73" s="852">
        <f>ROUND(P72/T72,6)</f>
        <v>6.78E-4</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161</v>
      </c>
      <c r="D75" s="767" t="s">
        <v>476</v>
      </c>
      <c r="E75" s="767"/>
      <c r="F75" s="767"/>
      <c r="G75" s="767"/>
      <c r="H75" s="299">
        <f>'1461'!H75</f>
        <v>186826.74</v>
      </c>
      <c r="I75" s="113"/>
      <c r="N75" s="853" t="s">
        <v>466</v>
      </c>
      <c r="O75" s="834"/>
      <c r="P75" s="41">
        <f>P30</f>
        <v>161</v>
      </c>
      <c r="Q75" s="861" t="s">
        <v>471</v>
      </c>
      <c r="R75" s="862"/>
      <c r="S75" s="862"/>
      <c r="T75" s="856">
        <f>H75</f>
        <v>186826.74</v>
      </c>
      <c r="U75" s="856"/>
    </row>
    <row r="76" spans="1:22" x14ac:dyDescent="0.25">
      <c r="B76" s="69"/>
      <c r="G76" s="42" t="s">
        <v>12</v>
      </c>
      <c r="H76" s="114">
        <f>ROUND(C75/H75,6)</f>
        <v>8.6200000000000003E-4</v>
      </c>
      <c r="I76" s="115"/>
      <c r="N76" s="834"/>
      <c r="O76" s="834"/>
      <c r="P76" s="834"/>
      <c r="Q76" s="834"/>
      <c r="R76" s="834"/>
      <c r="S76" s="834"/>
      <c r="T76" s="852">
        <f>ROUND(P75/T75,6)</f>
        <v>8.6200000000000003E-4</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161</v>
      </c>
      <c r="D78" s="795" t="s">
        <v>477</v>
      </c>
      <c r="E78" s="795"/>
      <c r="F78" s="795"/>
      <c r="G78" s="795"/>
      <c r="H78" s="299">
        <f>'1461'!H78</f>
        <v>210630.63</v>
      </c>
      <c r="I78" s="113"/>
      <c r="N78" s="853" t="s">
        <v>466</v>
      </c>
      <c r="O78" s="834"/>
      <c r="P78" s="41">
        <f>P30</f>
        <v>161</v>
      </c>
      <c r="Q78" s="859" t="s">
        <v>472</v>
      </c>
      <c r="R78" s="860"/>
      <c r="S78" s="860"/>
      <c r="T78" s="856">
        <f>H78</f>
        <v>210630.63</v>
      </c>
      <c r="U78" s="856"/>
    </row>
    <row r="79" spans="1:22" x14ac:dyDescent="0.25">
      <c r="B79" s="69"/>
      <c r="G79" s="42" t="s">
        <v>12</v>
      </c>
      <c r="H79" s="114">
        <f>ROUND(C78/H78,6)</f>
        <v>7.6400000000000003E-4</v>
      </c>
      <c r="I79" s="115"/>
      <c r="N79" s="834"/>
      <c r="O79" s="834"/>
      <c r="P79" s="834"/>
      <c r="Q79" s="834"/>
      <c r="R79" s="834"/>
      <c r="S79" s="834"/>
      <c r="T79" s="852">
        <f>ROUND(P78/T78,6)</f>
        <v>7.6400000000000003E-4</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161</v>
      </c>
      <c r="D81" s="767" t="s">
        <v>478</v>
      </c>
      <c r="E81" s="767"/>
      <c r="F81" s="767"/>
      <c r="G81" s="767"/>
      <c r="H81" s="299">
        <f>'1461'!H81</f>
        <v>186522.13</v>
      </c>
      <c r="I81" s="113"/>
      <c r="N81" s="853" t="s">
        <v>479</v>
      </c>
      <c r="O81" s="834"/>
      <c r="P81" s="41">
        <f>P30</f>
        <v>161</v>
      </c>
      <c r="Q81" s="861" t="s">
        <v>480</v>
      </c>
      <c r="R81" s="862"/>
      <c r="S81" s="862"/>
      <c r="T81" s="856">
        <f>H81</f>
        <v>186522.13</v>
      </c>
      <c r="U81" s="856"/>
    </row>
    <row r="82" spans="1:21" x14ac:dyDescent="0.25">
      <c r="B82" s="69"/>
      <c r="G82" s="42" t="s">
        <v>12</v>
      </c>
      <c r="H82" s="114">
        <f>ROUND(C81/H81,6)</f>
        <v>8.6300000000000005E-4</v>
      </c>
      <c r="I82" s="115"/>
      <c r="N82" s="834"/>
      <c r="O82" s="834"/>
      <c r="P82" s="834"/>
      <c r="Q82" s="834"/>
      <c r="R82" s="834"/>
      <c r="S82" s="834"/>
      <c r="T82" s="852">
        <f>ROUND(P81/T81,6)</f>
        <v>8.6300000000000005E-4</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7.6400000000000003E-4</v>
      </c>
      <c r="I85" s="101">
        <f>ROUND(F85*H85,2)</f>
        <v>35374.51</v>
      </c>
      <c r="N85" s="504" t="s">
        <v>514</v>
      </c>
      <c r="O85" s="51"/>
      <c r="P85" s="51"/>
      <c r="Q85" s="44"/>
      <c r="R85" s="470">
        <f>F85</f>
        <v>46301717</v>
      </c>
      <c r="S85" s="38" t="s">
        <v>6</v>
      </c>
      <c r="T85" s="472">
        <f>T79</f>
        <v>7.6400000000000003E-4</v>
      </c>
      <c r="U85" s="524">
        <f>ROUND(R85*T85,2)</f>
        <v>35374.51</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7.6300000000000001E-4</v>
      </c>
      <c r="I88" s="101">
        <f>ROUND(F88*H88,2)</f>
        <v>0</v>
      </c>
      <c r="N88" s="863" t="s">
        <v>99</v>
      </c>
      <c r="O88" s="834"/>
      <c r="P88" s="834"/>
      <c r="Q88" s="44"/>
      <c r="R88" s="470">
        <f>F88</f>
        <v>0</v>
      </c>
      <c r="S88" s="38" t="s">
        <v>6</v>
      </c>
      <c r="T88" s="472">
        <f>T70</f>
        <v>7.6300000000000001E-4</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8.6300000000000005E-4</v>
      </c>
      <c r="I90" s="101">
        <f>ROUND(F90*H90,2)</f>
        <v>16505.64</v>
      </c>
      <c r="N90" s="504" t="s">
        <v>515</v>
      </c>
      <c r="O90" s="51"/>
      <c r="P90" s="51"/>
      <c r="Q90" s="44"/>
      <c r="R90" s="470">
        <f>F90</f>
        <v>19125890</v>
      </c>
      <c r="S90" s="38" t="s">
        <v>6</v>
      </c>
      <c r="T90" s="472">
        <f>T82</f>
        <v>8.6300000000000005E-4</v>
      </c>
      <c r="U90" s="524">
        <f>ROUND(R90*T90,2)</f>
        <v>16505.64</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8.6200000000000003E-4</v>
      </c>
      <c r="I92" s="101">
        <f t="shared" ref="I92:I96" si="14">ROUND(F92*H92,2)</f>
        <v>9922.7900000000009</v>
      </c>
      <c r="N92" s="504" t="s">
        <v>516</v>
      </c>
      <c r="O92" s="51"/>
      <c r="P92" s="51"/>
      <c r="Q92" s="44"/>
      <c r="R92" s="470">
        <f t="shared" ref="R92:R96" si="15">F92</f>
        <v>11511363</v>
      </c>
      <c r="S92" s="38" t="s">
        <v>6</v>
      </c>
      <c r="T92" s="472">
        <f>T76</f>
        <v>8.6200000000000003E-4</v>
      </c>
      <c r="U92" s="524">
        <f>ROUND(R92*T92,2)</f>
        <v>9922.7900000000009</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3.2230000000000002E-3</v>
      </c>
      <c r="I94" s="101">
        <f t="shared" si="14"/>
        <v>824304.22</v>
      </c>
      <c r="N94" s="834" t="s">
        <v>482</v>
      </c>
      <c r="O94" s="834"/>
      <c r="P94" s="834"/>
      <c r="Q94" s="44"/>
      <c r="R94" s="470">
        <f t="shared" si="15"/>
        <v>255756816</v>
      </c>
      <c r="S94" s="38" t="s">
        <v>6</v>
      </c>
      <c r="T94" s="472">
        <f>T73</f>
        <v>6.78E-4</v>
      </c>
      <c r="U94" s="524">
        <f>ROUND(R94*T94,2)</f>
        <v>173403.12</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3.2230000000000002E-3</v>
      </c>
      <c r="I96" s="101">
        <f t="shared" si="14"/>
        <v>-49776.19</v>
      </c>
      <c r="N96" s="853" t="s">
        <v>483</v>
      </c>
      <c r="O96" s="834"/>
      <c r="P96" s="834"/>
      <c r="Q96" s="44"/>
      <c r="R96" s="470">
        <f t="shared" si="15"/>
        <v>-15444055</v>
      </c>
      <c r="S96" s="38" t="s">
        <v>6</v>
      </c>
      <c r="T96" s="472">
        <f>T73</f>
        <v>6.78E-4</v>
      </c>
      <c r="U96" s="524">
        <f>ROUND(R96*T96,2)</f>
        <v>-10471.07</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7.6300000000000001E-4</v>
      </c>
      <c r="I98" s="101">
        <f t="shared" ref="I98" si="16">ROUND(F98*H98,2)</f>
        <v>4289.1499999999996</v>
      </c>
      <c r="N98" s="587" t="s">
        <v>556</v>
      </c>
      <c r="O98" s="587"/>
      <c r="P98" s="587"/>
      <c r="Q98" s="44"/>
      <c r="R98" s="590">
        <f>F98</f>
        <v>5621424</v>
      </c>
      <c r="S98" s="588" t="s">
        <v>6</v>
      </c>
      <c r="T98" s="472">
        <f>T70</f>
        <v>7.6300000000000001E-4</v>
      </c>
      <c r="U98" s="524">
        <f>ROUND(R98*T98,2)</f>
        <v>4289.1499999999996</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94.085999999999999</v>
      </c>
      <c r="D104" s="806"/>
      <c r="E104" s="46">
        <f>H8</f>
        <v>1.0407999999999999</v>
      </c>
      <c r="F104" s="302">
        <f>'1461'!F104</f>
        <v>950.92</v>
      </c>
      <c r="G104" s="39" t="s">
        <v>12</v>
      </c>
      <c r="H104" s="101">
        <f>ROUND(C104*E104*F104,2)</f>
        <v>93118.56</v>
      </c>
      <c r="I104" s="104"/>
      <c r="N104" s="28" t="s">
        <v>17</v>
      </c>
      <c r="O104" s="47">
        <f>T14+T15+T20+T23+T26</f>
        <v>18</v>
      </c>
      <c r="P104" s="864">
        <f>T8</f>
        <v>1.0407999999999999</v>
      </c>
      <c r="Q104" s="864"/>
      <c r="R104" s="48">
        <f>F104</f>
        <v>950.92</v>
      </c>
      <c r="S104" s="40" t="s">
        <v>12</v>
      </c>
      <c r="T104" s="530">
        <f>ROUND(O104*P104*R104,2)</f>
        <v>17814.919999999998</v>
      </c>
      <c r="U104" s="102"/>
    </row>
    <row r="105" spans="1:21" x14ac:dyDescent="0.25">
      <c r="A105" s="49"/>
      <c r="B105" s="49" t="s">
        <v>104</v>
      </c>
      <c r="C105" s="806">
        <f>H16+H17+H21+H24+H27</f>
        <v>194.673</v>
      </c>
      <c r="D105" s="806"/>
      <c r="E105" s="46">
        <f>H8</f>
        <v>1.0407999999999999</v>
      </c>
      <c r="F105" s="302">
        <f>'1461'!F105</f>
        <v>907.92</v>
      </c>
      <c r="G105" s="39" t="s">
        <v>12</v>
      </c>
      <c r="H105" s="101">
        <f>ROUND(C105*E105*F105,2)</f>
        <v>183958.81</v>
      </c>
      <c r="N105" s="50" t="s">
        <v>13</v>
      </c>
      <c r="O105" s="47">
        <f>T16+T17+T21+T24+T27</f>
        <v>39</v>
      </c>
      <c r="P105" s="864">
        <f>T8</f>
        <v>1.0407999999999999</v>
      </c>
      <c r="Q105" s="864"/>
      <c r="R105" s="48">
        <f>F105</f>
        <v>907.92</v>
      </c>
      <c r="S105" s="40" t="s">
        <v>12</v>
      </c>
      <c r="T105" s="530">
        <f>ROUND(O105*P105*R105,2)</f>
        <v>36853.56</v>
      </c>
      <c r="U105" s="51"/>
    </row>
    <row r="106" spans="1:21" ht="16.5" thickBot="1" x14ac:dyDescent="0.3">
      <c r="A106" s="52"/>
      <c r="B106" s="52" t="s">
        <v>103</v>
      </c>
      <c r="C106" s="806">
        <f>H18+H19+H22+H25+H28+H29</f>
        <v>477.06200000000001</v>
      </c>
      <c r="D106" s="806"/>
      <c r="E106" s="46">
        <f>H8</f>
        <v>1.0407999999999999</v>
      </c>
      <c r="F106" s="302">
        <f>'1461'!F106</f>
        <v>910.12</v>
      </c>
      <c r="G106" s="39" t="s">
        <v>12</v>
      </c>
      <c r="H106" s="94">
        <f>ROUND(C106*E106*F106,2)</f>
        <v>451898.36</v>
      </c>
      <c r="N106" s="53" t="s">
        <v>14</v>
      </c>
      <c r="O106" s="54">
        <f>T18+T19+T22+T25+T28+T29</f>
        <v>104</v>
      </c>
      <c r="P106" s="864">
        <f>T8</f>
        <v>1.0407999999999999</v>
      </c>
      <c r="Q106" s="864"/>
      <c r="R106" s="48">
        <f>F106</f>
        <v>910.12</v>
      </c>
      <c r="S106" s="40" t="s">
        <v>12</v>
      </c>
      <c r="T106" s="530">
        <f>ROUND(O106*P106*R106,2)</f>
        <v>98514.3</v>
      </c>
      <c r="U106" s="51"/>
    </row>
    <row r="107" spans="1:21" ht="16.5" thickBot="1" x14ac:dyDescent="0.3">
      <c r="A107" s="55"/>
      <c r="B107" s="122" t="s">
        <v>102</v>
      </c>
      <c r="C107" s="796">
        <f>SUM(C104:C106)</f>
        <v>765.82100000000003</v>
      </c>
      <c r="D107" s="796"/>
      <c r="E107" s="123"/>
      <c r="F107" s="123"/>
      <c r="G107" s="123"/>
      <c r="H107" s="124" t="s">
        <v>100</v>
      </c>
      <c r="I107" s="101">
        <f>IF(A1=75,0,H106+H105+H104)</f>
        <v>728975.73</v>
      </c>
      <c r="N107" s="56" t="s">
        <v>89</v>
      </c>
      <c r="O107" s="57">
        <f>SUM(O104:O106)</f>
        <v>161</v>
      </c>
      <c r="P107" s="870" t="s">
        <v>16</v>
      </c>
      <c r="Q107" s="871"/>
      <c r="R107" s="871"/>
      <c r="S107" s="871"/>
      <c r="T107" s="871"/>
      <c r="U107" s="524">
        <f>IF(N1=75,0,T106+T105+T104)</f>
        <v>153182.77999999997</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5878906.3999999985</v>
      </c>
      <c r="N128" s="504"/>
      <c r="O128" s="503"/>
      <c r="P128" s="503"/>
      <c r="Q128" s="305"/>
      <c r="R128" s="305"/>
      <c r="S128" s="305"/>
      <c r="T128" s="305"/>
      <c r="U128" s="531">
        <f>SUM(U30,U85,U88,U90,U92,U94,U96,U107,U113,U114,U124,U126)</f>
        <v>1271223.7</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5635853.4399999985</v>
      </c>
      <c r="N130" s="834" t="s">
        <v>494</v>
      </c>
      <c r="O130" s="834"/>
      <c r="P130" s="834"/>
      <c r="Q130" s="834"/>
      <c r="R130" s="834"/>
      <c r="S130" s="834"/>
      <c r="T130" s="834"/>
      <c r="U130" s="132">
        <f>U128-U53</f>
        <v>1211729.53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f>IF(E30=0,"",IF((E15+E17+SUM(E19:E25))/E30&gt;0.75,1,""))</f>
        <v>1</v>
      </c>
      <c r="I133" s="116">
        <f>U130</f>
        <v>1211729.53</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1211729.53</v>
      </c>
      <c r="I135" s="94">
        <f>ROUND(IF(E30=0,0,IF(E30&gt;250,-(((250/E30)*H135)*IF(G135="H",0.02,0.05)),IF(G135="H",-0.02*H135,-0.05*H135))),2)</f>
        <v>-60586.48</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5818319.9199999981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Payments'!Q80</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5818319.9199999981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484859.99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423</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37.5</v>
      </c>
      <c r="D19" s="143">
        <v>0</v>
      </c>
      <c r="E19" s="116">
        <f t="shared" si="1"/>
        <v>75</v>
      </c>
      <c r="F19" s="833">
        <f>'1461'!F19:G19</f>
        <v>0.97799999999999998</v>
      </c>
      <c r="G19" s="833"/>
      <c r="H19" s="80">
        <f t="shared" si="2"/>
        <v>73.349999999999994</v>
      </c>
      <c r="I19" s="101">
        <f t="shared" si="3"/>
        <v>406981.3</v>
      </c>
      <c r="J19" s="65" t="str">
        <f>IF(ROUND(E19,2)=ROUND(SUM(E63:E65),2)," ","CHECK 4-8 LINES BELOW")</f>
        <v xml:space="preserve"> </v>
      </c>
      <c r="N19" s="834" t="s">
        <v>25</v>
      </c>
      <c r="O19" s="834"/>
      <c r="P19" s="831">
        <f t="shared" si="0"/>
        <v>75</v>
      </c>
      <c r="Q19" s="831"/>
      <c r="R19" s="835">
        <v>1</v>
      </c>
      <c r="S19" s="835"/>
      <c r="T19" s="95">
        <f t="shared" si="4"/>
        <v>75</v>
      </c>
      <c r="U19" s="523">
        <f t="shared" si="5"/>
        <v>416136.3</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1</v>
      </c>
      <c r="D22" s="143">
        <v>0</v>
      </c>
      <c r="E22" s="116">
        <f t="shared" si="1"/>
        <v>2</v>
      </c>
      <c r="F22" s="833">
        <f>'1461'!F22:G22</f>
        <v>3.6970000000000001</v>
      </c>
      <c r="G22" s="833"/>
      <c r="H22" s="80">
        <f t="shared" si="2"/>
        <v>7.3940000000000001</v>
      </c>
      <c r="I22" s="101">
        <f t="shared" si="3"/>
        <v>41025.49</v>
      </c>
      <c r="N22" s="834" t="s">
        <v>81</v>
      </c>
      <c r="O22" s="834"/>
      <c r="P22" s="831">
        <f t="shared" si="0"/>
        <v>2</v>
      </c>
      <c r="Q22" s="831"/>
      <c r="R22" s="835">
        <v>1</v>
      </c>
      <c r="S22" s="835"/>
      <c r="T22" s="95">
        <f t="shared" si="4"/>
        <v>2</v>
      </c>
      <c r="U22" s="524">
        <f t="shared" si="5"/>
        <v>11096.97</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38.5</v>
      </c>
      <c r="D30" s="94">
        <f>SUM(D14:D29)</f>
        <v>0</v>
      </c>
      <c r="E30" s="94">
        <f>SUM(E14:E29)</f>
        <v>77</v>
      </c>
      <c r="F30" s="792"/>
      <c r="G30" s="792"/>
      <c r="H30" s="99">
        <f>SUM(H14:H29)</f>
        <v>80.744</v>
      </c>
      <c r="I30" s="94">
        <f>SUM(I14:I29)</f>
        <v>448006.79</v>
      </c>
      <c r="N30" s="838" t="s">
        <v>5</v>
      </c>
      <c r="O30" s="838"/>
      <c r="P30" s="839">
        <f>SUM(P14:P29)</f>
        <v>77</v>
      </c>
      <c r="Q30" s="839"/>
      <c r="R30" s="840"/>
      <c r="S30" s="840"/>
      <c r="T30" s="100">
        <f>SUM(T14:T29)</f>
        <v>77</v>
      </c>
      <c r="U30" s="524">
        <f>SUM(U14:U29)</f>
        <v>427233.26999999996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80.744</v>
      </c>
      <c r="F46" s="34"/>
      <c r="G46" s="106"/>
      <c r="H46" s="107" t="s">
        <v>98</v>
      </c>
      <c r="I46" s="94">
        <f>SUM(I44,I30)</f>
        <v>448006.79</v>
      </c>
      <c r="N46" s="846" t="s">
        <v>44</v>
      </c>
      <c r="O46" s="846"/>
      <c r="P46" s="846"/>
      <c r="Q46" s="846"/>
      <c r="R46" s="35">
        <f>R44+T30</f>
        <v>77</v>
      </c>
      <c r="S46" s="840" t="s">
        <v>42</v>
      </c>
      <c r="T46" s="840"/>
      <c r="U46" s="108">
        <f>SUM(U44,U30)</f>
        <v>427233.26999999996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393252.69</v>
      </c>
      <c r="G51" s="109" t="s">
        <v>6</v>
      </c>
      <c r="H51" s="453">
        <v>5.5899999999999998E-2</v>
      </c>
      <c r="I51" s="101">
        <f>ROUND(F51*H51,2)</f>
        <v>21982.83</v>
      </c>
      <c r="N51" s="458"/>
      <c r="O51" s="459" t="s">
        <v>576</v>
      </c>
      <c r="P51" s="28"/>
      <c r="Q51" s="44" t="s">
        <v>461</v>
      </c>
      <c r="R51" s="460">
        <f>U30</f>
        <v>427233.26999999996</v>
      </c>
      <c r="S51" s="461" t="s">
        <v>6</v>
      </c>
      <c r="T51" s="462">
        <v>5.5899999999999998E-2</v>
      </c>
      <c r="U51" s="454">
        <f>ROUND(R51*T51,2)</f>
        <v>23882.34</v>
      </c>
    </row>
    <row r="52" spans="1:22" x14ac:dyDescent="0.25">
      <c r="A52" s="26"/>
      <c r="B52" s="618" t="s">
        <v>580</v>
      </c>
      <c r="C52" s="26"/>
      <c r="D52" s="26"/>
      <c r="E52" s="43" t="s">
        <v>461</v>
      </c>
      <c r="F52" s="452">
        <v>393252.69</v>
      </c>
      <c r="G52" s="109" t="s">
        <v>6</v>
      </c>
      <c r="H52" s="453">
        <v>1.0699999999999999E-2</v>
      </c>
      <c r="I52" s="101">
        <f>ROUND(F52*H52,2)</f>
        <v>4207.8</v>
      </c>
      <c r="N52" s="28"/>
      <c r="O52" s="619" t="s">
        <v>579</v>
      </c>
      <c r="P52" s="28"/>
      <c r="Q52" s="44" t="s">
        <v>461</v>
      </c>
      <c r="R52" s="460">
        <f>U30</f>
        <v>427233.26999999996</v>
      </c>
      <c r="S52" s="461" t="s">
        <v>6</v>
      </c>
      <c r="T52" s="462">
        <v>1.0699999999999999E-2</v>
      </c>
      <c r="U52" s="463">
        <f>ROUND(R52*T52,2)</f>
        <v>4571.3999999999996</v>
      </c>
    </row>
    <row r="53" spans="1:22" x14ac:dyDescent="0.25">
      <c r="A53" s="26"/>
      <c r="B53" s="81" t="s">
        <v>462</v>
      </c>
      <c r="C53" s="26"/>
      <c r="D53" s="26"/>
      <c r="E53" s="43"/>
      <c r="F53" s="452"/>
      <c r="G53" s="109"/>
      <c r="H53" s="453"/>
      <c r="I53" s="97">
        <f>SUM(I51:I52)</f>
        <v>26190.63</v>
      </c>
      <c r="N53" s="28"/>
      <c r="O53" s="435" t="s">
        <v>462</v>
      </c>
      <c r="P53" s="28"/>
      <c r="Q53" s="44"/>
      <c r="R53" s="460"/>
      <c r="S53" s="461"/>
      <c r="T53" s="462"/>
      <c r="U53" s="454">
        <f>SUM(U51:U52)</f>
        <v>28453.739999999998</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0.5</v>
      </c>
      <c r="D63" s="143">
        <v>0</v>
      </c>
      <c r="E63" s="116">
        <f t="shared" si="10"/>
        <v>1</v>
      </c>
      <c r="F63" s="495" t="s">
        <v>14</v>
      </c>
      <c r="G63" s="494">
        <v>251</v>
      </c>
      <c r="H63" s="508">
        <f>'1461'!H63</f>
        <v>835</v>
      </c>
      <c r="I63" s="101">
        <f t="shared" si="11"/>
        <v>835</v>
      </c>
      <c r="N63" s="849"/>
      <c r="O63" s="849"/>
      <c r="P63" s="851"/>
      <c r="Q63" s="851"/>
      <c r="R63" s="40" t="s">
        <v>14</v>
      </c>
      <c r="S63" s="500">
        <v>251</v>
      </c>
      <c r="T63" s="511">
        <f t="shared" si="12"/>
        <v>835</v>
      </c>
      <c r="U63" s="525">
        <f t="shared" si="13"/>
        <v>0</v>
      </c>
      <c r="V63" s="475"/>
    </row>
    <row r="64" spans="1:22" x14ac:dyDescent="0.25">
      <c r="A64" s="799"/>
      <c r="B64" s="799"/>
      <c r="C64" s="143">
        <v>8</v>
      </c>
      <c r="D64" s="143">
        <v>0</v>
      </c>
      <c r="E64" s="116">
        <f t="shared" si="10"/>
        <v>16</v>
      </c>
      <c r="F64" s="495" t="s">
        <v>14</v>
      </c>
      <c r="G64" s="494">
        <v>252</v>
      </c>
      <c r="H64" s="508">
        <f>'1461'!H64</f>
        <v>3168</v>
      </c>
      <c r="I64" s="101">
        <f t="shared" si="11"/>
        <v>50688</v>
      </c>
      <c r="N64" s="849"/>
      <c r="O64" s="849"/>
      <c r="P64" s="851"/>
      <c r="Q64" s="851"/>
      <c r="R64" s="40" t="s">
        <v>14</v>
      </c>
      <c r="S64" s="500">
        <v>252</v>
      </c>
      <c r="T64" s="511">
        <f t="shared" si="12"/>
        <v>3168</v>
      </c>
      <c r="U64" s="525">
        <f t="shared" si="13"/>
        <v>0</v>
      </c>
      <c r="V64" s="475"/>
    </row>
    <row r="65" spans="1:22" ht="16.5" thickBot="1" x14ac:dyDescent="0.3">
      <c r="A65" s="799"/>
      <c r="B65" s="799"/>
      <c r="C65" s="143">
        <v>29</v>
      </c>
      <c r="D65" s="143">
        <v>0</v>
      </c>
      <c r="E65" s="116">
        <f t="shared" si="10"/>
        <v>58</v>
      </c>
      <c r="F65" s="495" t="s">
        <v>14</v>
      </c>
      <c r="G65" s="494">
        <v>253</v>
      </c>
      <c r="H65" s="508">
        <f>'1461'!H65</f>
        <v>6685</v>
      </c>
      <c r="I65" s="101">
        <f t="shared" si="11"/>
        <v>387730</v>
      </c>
      <c r="N65" s="849"/>
      <c r="O65" s="849"/>
      <c r="P65" s="857"/>
      <c r="Q65" s="857"/>
      <c r="R65" s="40" t="s">
        <v>14</v>
      </c>
      <c r="S65" s="500">
        <v>253</v>
      </c>
      <c r="T65" s="511">
        <f t="shared" si="12"/>
        <v>6685</v>
      </c>
      <c r="U65" s="526">
        <f t="shared" si="13"/>
        <v>0</v>
      </c>
      <c r="V65" s="475"/>
    </row>
    <row r="66" spans="1:22" ht="16.5" thickBot="1" x14ac:dyDescent="0.3">
      <c r="A66" s="491"/>
      <c r="C66" s="97">
        <f>SUM(C57:C65)</f>
        <v>37.5</v>
      </c>
      <c r="D66" s="97">
        <f>SUM(D57:D65)</f>
        <v>0</v>
      </c>
      <c r="E66" s="97">
        <f>SUM(E57:E65)</f>
        <v>75</v>
      </c>
      <c r="F66" s="800" t="s">
        <v>507</v>
      </c>
      <c r="G66" s="800"/>
      <c r="H66" s="800"/>
      <c r="I66" s="97">
        <f>SUM(I57:I65)</f>
        <v>439253</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77</v>
      </c>
      <c r="D69" s="775" t="s">
        <v>474</v>
      </c>
      <c r="E69" s="775"/>
      <c r="F69" s="775"/>
      <c r="G69" s="775"/>
      <c r="H69" s="299">
        <f>'1461'!H69</f>
        <v>210935.24</v>
      </c>
      <c r="I69" s="113"/>
      <c r="N69" s="853" t="s">
        <v>467</v>
      </c>
      <c r="O69" s="834"/>
      <c r="P69" s="41">
        <f>P30</f>
        <v>77</v>
      </c>
      <c r="Q69" s="854" t="s">
        <v>469</v>
      </c>
      <c r="R69" s="855"/>
      <c r="S69" s="855"/>
      <c r="T69" s="856">
        <f>H69</f>
        <v>210935.24</v>
      </c>
      <c r="U69" s="856"/>
    </row>
    <row r="70" spans="1:22" x14ac:dyDescent="0.25">
      <c r="B70" s="69"/>
      <c r="G70" s="42" t="s">
        <v>12</v>
      </c>
      <c r="H70" s="114">
        <f>ROUND(C69/H69,6)</f>
        <v>3.6499999999999998E-4</v>
      </c>
      <c r="I70" s="115"/>
      <c r="N70" s="834"/>
      <c r="O70" s="834"/>
      <c r="P70" s="834"/>
      <c r="Q70" s="834"/>
      <c r="R70" s="834"/>
      <c r="S70" s="834"/>
      <c r="T70" s="852">
        <f>ROUND(P69/T69,6)</f>
        <v>3.6499999999999998E-4</v>
      </c>
      <c r="U70" s="852"/>
    </row>
    <row r="71" spans="1:22" x14ac:dyDescent="0.25">
      <c r="A71" s="493" t="s">
        <v>510</v>
      </c>
      <c r="N71" s="504" t="s">
        <v>518</v>
      </c>
      <c r="O71" s="51"/>
      <c r="P71" s="51"/>
      <c r="Q71" s="51"/>
      <c r="R71" s="51"/>
      <c r="S71" s="51"/>
      <c r="T71" s="51"/>
      <c r="U71" s="51"/>
    </row>
    <row r="72" spans="1:22" x14ac:dyDescent="0.25">
      <c r="A72" s="794" t="s">
        <v>464</v>
      </c>
      <c r="B72" s="788"/>
      <c r="C72" s="112">
        <f>H30</f>
        <v>80.744</v>
      </c>
      <c r="D72" s="775" t="s">
        <v>475</v>
      </c>
      <c r="E72" s="775"/>
      <c r="F72" s="775"/>
      <c r="G72" s="775"/>
      <c r="H72" s="300">
        <f>'1461'!H72</f>
        <v>237601.62</v>
      </c>
      <c r="I72" s="116"/>
      <c r="N72" s="853" t="s">
        <v>468</v>
      </c>
      <c r="O72" s="834"/>
      <c r="P72" s="41">
        <f>T30</f>
        <v>77</v>
      </c>
      <c r="Q72" s="854" t="s">
        <v>470</v>
      </c>
      <c r="R72" s="855"/>
      <c r="S72" s="855"/>
      <c r="T72" s="856">
        <f>H72</f>
        <v>237601.62</v>
      </c>
      <c r="U72" s="856"/>
    </row>
    <row r="73" spans="1:22" x14ac:dyDescent="0.25">
      <c r="G73" s="42" t="s">
        <v>12</v>
      </c>
      <c r="H73" s="114">
        <f>ROUND(C72/H72,6)</f>
        <v>3.4000000000000002E-4</v>
      </c>
      <c r="I73" s="114"/>
      <c r="N73" s="834"/>
      <c r="O73" s="834"/>
      <c r="P73" s="834"/>
      <c r="Q73" s="834"/>
      <c r="R73" s="834"/>
      <c r="S73" s="834"/>
      <c r="T73" s="852">
        <f>ROUND(P72/T72,6)</f>
        <v>3.2400000000000001E-4</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77</v>
      </c>
      <c r="D75" s="767" t="s">
        <v>476</v>
      </c>
      <c r="E75" s="767"/>
      <c r="F75" s="767"/>
      <c r="G75" s="767"/>
      <c r="H75" s="299">
        <f>'1461'!H75</f>
        <v>186826.74</v>
      </c>
      <c r="I75" s="113"/>
      <c r="N75" s="853" t="s">
        <v>466</v>
      </c>
      <c r="O75" s="834"/>
      <c r="P75" s="41">
        <f>P30</f>
        <v>77</v>
      </c>
      <c r="Q75" s="861" t="s">
        <v>471</v>
      </c>
      <c r="R75" s="862"/>
      <c r="S75" s="862"/>
      <c r="T75" s="856">
        <f>H75</f>
        <v>186826.74</v>
      </c>
      <c r="U75" s="856"/>
    </row>
    <row r="76" spans="1:22" x14ac:dyDescent="0.25">
      <c r="B76" s="69"/>
      <c r="G76" s="42" t="s">
        <v>12</v>
      </c>
      <c r="H76" s="114">
        <f>ROUND(C75/H75,6)</f>
        <v>4.1199999999999999E-4</v>
      </c>
      <c r="I76" s="115"/>
      <c r="N76" s="834"/>
      <c r="O76" s="834"/>
      <c r="P76" s="834"/>
      <c r="Q76" s="834"/>
      <c r="R76" s="834"/>
      <c r="S76" s="834"/>
      <c r="T76" s="852">
        <f>ROUND(P75/T75,6)</f>
        <v>4.1199999999999999E-4</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77</v>
      </c>
      <c r="D78" s="795" t="s">
        <v>477</v>
      </c>
      <c r="E78" s="795"/>
      <c r="F78" s="795"/>
      <c r="G78" s="795"/>
      <c r="H78" s="299">
        <f>'1461'!H78</f>
        <v>210630.63</v>
      </c>
      <c r="I78" s="113"/>
      <c r="N78" s="853" t="s">
        <v>466</v>
      </c>
      <c r="O78" s="834"/>
      <c r="P78" s="41">
        <f>P30</f>
        <v>77</v>
      </c>
      <c r="Q78" s="859" t="s">
        <v>472</v>
      </c>
      <c r="R78" s="860"/>
      <c r="S78" s="860"/>
      <c r="T78" s="856">
        <f>H78</f>
        <v>210630.63</v>
      </c>
      <c r="U78" s="856"/>
    </row>
    <row r="79" spans="1:22" x14ac:dyDescent="0.25">
      <c r="B79" s="69"/>
      <c r="G79" s="42" t="s">
        <v>12</v>
      </c>
      <c r="H79" s="114">
        <f>ROUND(C78/H78,6)</f>
        <v>3.6600000000000001E-4</v>
      </c>
      <c r="I79" s="115"/>
      <c r="N79" s="834"/>
      <c r="O79" s="834"/>
      <c r="P79" s="834"/>
      <c r="Q79" s="834"/>
      <c r="R79" s="834"/>
      <c r="S79" s="834"/>
      <c r="T79" s="852">
        <f>ROUND(P78/T78,6)</f>
        <v>3.6600000000000001E-4</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77</v>
      </c>
      <c r="D81" s="767" t="s">
        <v>478</v>
      </c>
      <c r="E81" s="767"/>
      <c r="F81" s="767"/>
      <c r="G81" s="767"/>
      <c r="H81" s="299">
        <f>'1461'!H81</f>
        <v>186522.13</v>
      </c>
      <c r="I81" s="113"/>
      <c r="N81" s="853" t="s">
        <v>479</v>
      </c>
      <c r="O81" s="834"/>
      <c r="P81" s="41">
        <f>P30</f>
        <v>77</v>
      </c>
      <c r="Q81" s="861" t="s">
        <v>480</v>
      </c>
      <c r="R81" s="862"/>
      <c r="S81" s="862"/>
      <c r="T81" s="856">
        <f>H81</f>
        <v>186522.13</v>
      </c>
      <c r="U81" s="856"/>
    </row>
    <row r="82" spans="1:21" x14ac:dyDescent="0.25">
      <c r="B82" s="69"/>
      <c r="G82" s="42" t="s">
        <v>12</v>
      </c>
      <c r="H82" s="114">
        <f>ROUND(C81/H81,6)</f>
        <v>4.1300000000000001E-4</v>
      </c>
      <c r="I82" s="115"/>
      <c r="N82" s="834"/>
      <c r="O82" s="834"/>
      <c r="P82" s="834"/>
      <c r="Q82" s="834"/>
      <c r="R82" s="834"/>
      <c r="S82" s="834"/>
      <c r="T82" s="852">
        <f>ROUND(P81/T81,6)</f>
        <v>4.1300000000000001E-4</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3.6600000000000001E-4</v>
      </c>
      <c r="I85" s="101">
        <f>ROUND(F85*H85,2)</f>
        <v>16946.43</v>
      </c>
      <c r="N85" s="504" t="s">
        <v>514</v>
      </c>
      <c r="O85" s="51"/>
      <c r="P85" s="51"/>
      <c r="Q85" s="44"/>
      <c r="R85" s="470">
        <f>F85</f>
        <v>46301717</v>
      </c>
      <c r="S85" s="38" t="s">
        <v>6</v>
      </c>
      <c r="T85" s="472">
        <f>T79</f>
        <v>3.6600000000000001E-4</v>
      </c>
      <c r="U85" s="524">
        <f>ROUND(R85*T85,2)</f>
        <v>16946.43</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3.6499999999999998E-4</v>
      </c>
      <c r="I88" s="101">
        <f>ROUND(F88*H88,2)</f>
        <v>0</v>
      </c>
      <c r="N88" s="863" t="s">
        <v>99</v>
      </c>
      <c r="O88" s="834"/>
      <c r="P88" s="834"/>
      <c r="Q88" s="44"/>
      <c r="R88" s="470">
        <f>F88</f>
        <v>0</v>
      </c>
      <c r="S88" s="38" t="s">
        <v>6</v>
      </c>
      <c r="T88" s="472">
        <f>T70</f>
        <v>3.6499999999999998E-4</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4.1300000000000001E-4</v>
      </c>
      <c r="I90" s="101">
        <f>ROUND(F90*H90,2)</f>
        <v>7898.99</v>
      </c>
      <c r="N90" s="504" t="s">
        <v>515</v>
      </c>
      <c r="O90" s="51"/>
      <c r="P90" s="51"/>
      <c r="Q90" s="44"/>
      <c r="R90" s="470">
        <f>F90</f>
        <v>19125890</v>
      </c>
      <c r="S90" s="38" t="s">
        <v>6</v>
      </c>
      <c r="T90" s="472">
        <f>T82</f>
        <v>4.1300000000000001E-4</v>
      </c>
      <c r="U90" s="524">
        <f>ROUND(R90*T90,2)</f>
        <v>7898.99</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4.1199999999999999E-4</v>
      </c>
      <c r="I92" s="101">
        <f t="shared" ref="I92:I96" si="14">ROUND(F92*H92,2)</f>
        <v>4742.68</v>
      </c>
      <c r="N92" s="504" t="s">
        <v>516</v>
      </c>
      <c r="O92" s="51"/>
      <c r="P92" s="51"/>
      <c r="Q92" s="44"/>
      <c r="R92" s="470">
        <f t="shared" ref="R92:R96" si="15">F92</f>
        <v>11511363</v>
      </c>
      <c r="S92" s="38" t="s">
        <v>6</v>
      </c>
      <c r="T92" s="472">
        <f>T76</f>
        <v>4.1199999999999999E-4</v>
      </c>
      <c r="U92" s="524">
        <f>ROUND(R92*T92,2)</f>
        <v>4742.68</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3.4000000000000002E-4</v>
      </c>
      <c r="I94" s="101">
        <f t="shared" si="14"/>
        <v>86957.32</v>
      </c>
      <c r="N94" s="834" t="s">
        <v>482</v>
      </c>
      <c r="O94" s="834"/>
      <c r="P94" s="834"/>
      <c r="Q94" s="44"/>
      <c r="R94" s="470">
        <f t="shared" si="15"/>
        <v>255756816</v>
      </c>
      <c r="S94" s="38" t="s">
        <v>6</v>
      </c>
      <c r="T94" s="472">
        <f>T73</f>
        <v>3.2400000000000001E-4</v>
      </c>
      <c r="U94" s="524">
        <f>ROUND(R94*T94,2)</f>
        <v>82865.210000000006</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3.4000000000000002E-4</v>
      </c>
      <c r="I96" s="101">
        <f t="shared" si="14"/>
        <v>-5250.98</v>
      </c>
      <c r="N96" s="853" t="s">
        <v>483</v>
      </c>
      <c r="O96" s="834"/>
      <c r="P96" s="834"/>
      <c r="Q96" s="44"/>
      <c r="R96" s="470">
        <f t="shared" si="15"/>
        <v>-15444055</v>
      </c>
      <c r="S96" s="38" t="s">
        <v>6</v>
      </c>
      <c r="T96" s="472">
        <f>T73</f>
        <v>3.2400000000000001E-4</v>
      </c>
      <c r="U96" s="524">
        <f>ROUND(R96*T96,2)</f>
        <v>-5003.87</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3.6499999999999998E-4</v>
      </c>
      <c r="I98" s="101">
        <f t="shared" ref="I98" si="16">ROUND(F98*H98,2)</f>
        <v>2051.8200000000002</v>
      </c>
      <c r="N98" s="587" t="s">
        <v>556</v>
      </c>
      <c r="O98" s="587"/>
      <c r="P98" s="587"/>
      <c r="Q98" s="44"/>
      <c r="R98" s="590">
        <f>F98</f>
        <v>5621424</v>
      </c>
      <c r="S98" s="588" t="s">
        <v>6</v>
      </c>
      <c r="T98" s="472">
        <f>T70</f>
        <v>3.6499999999999998E-4</v>
      </c>
      <c r="U98" s="524">
        <f>ROUND(R98*T98,2)</f>
        <v>2051.8200000000002</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80.744</v>
      </c>
      <c r="D106" s="806"/>
      <c r="E106" s="46">
        <f>H8</f>
        <v>1.0407999999999999</v>
      </c>
      <c r="F106" s="302">
        <f>'1461'!F106</f>
        <v>910.12</v>
      </c>
      <c r="G106" s="39" t="s">
        <v>12</v>
      </c>
      <c r="H106" s="94">
        <f>ROUND(C106*E106*F106,2)</f>
        <v>76484.990000000005</v>
      </c>
      <c r="N106" s="53" t="s">
        <v>14</v>
      </c>
      <c r="O106" s="54">
        <f>T18+T19+T22+T25+T28+T29</f>
        <v>77</v>
      </c>
      <c r="P106" s="864">
        <f>T8</f>
        <v>1.0407999999999999</v>
      </c>
      <c r="Q106" s="864"/>
      <c r="R106" s="48">
        <f>F106</f>
        <v>910.12</v>
      </c>
      <c r="S106" s="40" t="s">
        <v>12</v>
      </c>
      <c r="T106" s="530">
        <f>ROUND(O106*P106*R106,2)</f>
        <v>72938.47</v>
      </c>
      <c r="U106" s="51"/>
    </row>
    <row r="107" spans="1:21" ht="16.5" thickBot="1" x14ac:dyDescent="0.3">
      <c r="A107" s="55"/>
      <c r="B107" s="122" t="s">
        <v>102</v>
      </c>
      <c r="C107" s="796">
        <f>SUM(C104:C106)</f>
        <v>80.744</v>
      </c>
      <c r="D107" s="796"/>
      <c r="E107" s="123"/>
      <c r="F107" s="123"/>
      <c r="G107" s="123"/>
      <c r="H107" s="124" t="s">
        <v>100</v>
      </c>
      <c r="I107" s="101">
        <f>IF(A1=75,0,H106+H105+H104)</f>
        <v>76484.990000000005</v>
      </c>
      <c r="N107" s="56" t="s">
        <v>89</v>
      </c>
      <c r="O107" s="57">
        <f>SUM(O104:O106)</f>
        <v>77</v>
      </c>
      <c r="P107" s="870" t="s">
        <v>16</v>
      </c>
      <c r="Q107" s="871"/>
      <c r="R107" s="871"/>
      <c r="S107" s="871"/>
      <c r="T107" s="871"/>
      <c r="U107" s="524">
        <f>IF(N1=75,0,T106+T105+T104)</f>
        <v>72938.47</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64</v>
      </c>
      <c r="D113" s="143">
        <v>0</v>
      </c>
      <c r="E113" s="116">
        <f>C113</f>
        <v>64</v>
      </c>
      <c r="F113" s="126" t="s">
        <v>30</v>
      </c>
      <c r="G113" s="303">
        <f>'1461'!G113</f>
        <v>607</v>
      </c>
      <c r="I113" s="101">
        <f>ROUND(G113*E113,2)</f>
        <v>38848</v>
      </c>
      <c r="N113" s="868" t="s">
        <v>52</v>
      </c>
      <c r="O113" s="868"/>
      <c r="P113" s="869">
        <f>IF(H133=1,E113,0)</f>
        <v>64</v>
      </c>
      <c r="Q113" s="869"/>
      <c r="R113" s="869"/>
      <c r="S113" s="83" t="s">
        <v>30</v>
      </c>
      <c r="T113" s="58">
        <f>G113</f>
        <v>607</v>
      </c>
      <c r="U113" s="524">
        <f>ROUND(T113*P113,2)</f>
        <v>38848</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1115939.0400000003</v>
      </c>
      <c r="N128" s="504"/>
      <c r="O128" s="503"/>
      <c r="P128" s="503"/>
      <c r="Q128" s="305"/>
      <c r="R128" s="305"/>
      <c r="S128" s="305"/>
      <c r="T128" s="305"/>
      <c r="U128" s="531">
        <f>SUM(U30,U85,U88,U90,U92,U94,U96,U107,U113,U114,U124,U126)</f>
        <v>646469.17999999993</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1089748.4100000004</v>
      </c>
      <c r="N130" s="834" t="s">
        <v>494</v>
      </c>
      <c r="O130" s="834"/>
      <c r="P130" s="834"/>
      <c r="Q130" s="834"/>
      <c r="R130" s="834"/>
      <c r="S130" s="834"/>
      <c r="T130" s="834"/>
      <c r="U130" s="132">
        <f>U128-U53</f>
        <v>618015.43999999994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f>IF(E30=0,"",IF((E15+E17+SUM(E19:E25))/E30&gt;0.75,1,""))</f>
        <v>1</v>
      </c>
      <c r="I133" s="116">
        <f>U130</f>
        <v>618015.43999999994</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618015.43999999994</v>
      </c>
      <c r="I135" s="94">
        <f>ROUND(IF(E30=0,0,IF(E30&gt;250,-(((250/E30)*H135)*IF(G135="H",0.02,0.05)),IF(G135="H",-0.02*H135,-0.05*H135))),2)</f>
        <v>-30900.77</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1085038.2700000003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Payments'!Q81</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1085038.2700000003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90419.86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115</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177.79</v>
      </c>
      <c r="D14" s="141">
        <v>0</v>
      </c>
      <c r="E14" s="187">
        <f>IF(D$30=0,C14*2,C14+D14)</f>
        <v>355.58</v>
      </c>
      <c r="F14" s="829">
        <f>'1461'!F14:G14</f>
        <v>1.1180000000000001</v>
      </c>
      <c r="G14" s="829"/>
      <c r="H14" s="145">
        <f>ROUND(E14*F14,4)</f>
        <v>397.53840000000002</v>
      </c>
      <c r="I14" s="111">
        <f>ROUND(ROUND(ROUND(H14*$C$8,4)*($H$8),2)*(MAX($H$9,1)),2)</f>
        <v>2205735.4500000002</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32</v>
      </c>
      <c r="D15" s="143">
        <v>0</v>
      </c>
      <c r="E15" s="116">
        <f t="shared" ref="E15:E29" si="1">IF(D$30=0,C15*2,C15+D15)</f>
        <v>64</v>
      </c>
      <c r="F15" s="833">
        <f>'1461'!F15:G15</f>
        <v>1.1180000000000001</v>
      </c>
      <c r="G15" s="833"/>
      <c r="H15" s="80">
        <f t="shared" ref="H15:H29" si="2">ROUND(E15*F15,4)</f>
        <v>71.552000000000007</v>
      </c>
      <c r="I15" s="101">
        <f t="shared" ref="I15:I29" si="3">ROUND(ROUND(ROUND(H15*$C$8,4)*($H$8),2)*(MAX($H$9,1)),2)</f>
        <v>397005.13</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227.64</v>
      </c>
      <c r="D16" s="143">
        <v>0</v>
      </c>
      <c r="E16" s="116">
        <f t="shared" si="1"/>
        <v>455.28</v>
      </c>
      <c r="F16" s="833">
        <f>'1461'!F16:G16</f>
        <v>1</v>
      </c>
      <c r="G16" s="833"/>
      <c r="H16" s="80">
        <f t="shared" si="2"/>
        <v>455.28</v>
      </c>
      <c r="I16" s="101">
        <f t="shared" si="3"/>
        <v>2526113.79</v>
      </c>
      <c r="N16" s="834" t="s">
        <v>22</v>
      </c>
      <c r="O16" s="834"/>
      <c r="P16" s="831">
        <f t="shared" si="0"/>
        <v>0</v>
      </c>
      <c r="Q16" s="831"/>
      <c r="R16" s="835">
        <v>1</v>
      </c>
      <c r="S16" s="835"/>
      <c r="T16" s="95">
        <f t="shared" si="4"/>
        <v>0</v>
      </c>
      <c r="U16" s="524">
        <f t="shared" si="5"/>
        <v>0</v>
      </c>
    </row>
    <row r="17" spans="1:21" x14ac:dyDescent="0.25">
      <c r="A17" s="788" t="s">
        <v>23</v>
      </c>
      <c r="B17" s="788"/>
      <c r="C17" s="143">
        <v>57.5</v>
      </c>
      <c r="D17" s="143">
        <v>0</v>
      </c>
      <c r="E17" s="116">
        <f t="shared" si="1"/>
        <v>115</v>
      </c>
      <c r="F17" s="833">
        <f>'1461'!F17:G17</f>
        <v>1</v>
      </c>
      <c r="G17" s="833"/>
      <c r="H17" s="80">
        <f t="shared" si="2"/>
        <v>115</v>
      </c>
      <c r="I17" s="101">
        <f t="shared" si="3"/>
        <v>638075.66</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25.71</v>
      </c>
      <c r="D26" s="143">
        <v>0</v>
      </c>
      <c r="E26" s="116">
        <f t="shared" si="1"/>
        <v>51.42</v>
      </c>
      <c r="F26" s="833">
        <f>'1461'!F26:G26</f>
        <v>1.1919999999999999</v>
      </c>
      <c r="G26" s="833"/>
      <c r="H26" s="80">
        <f t="shared" si="2"/>
        <v>61.2926</v>
      </c>
      <c r="I26" s="101">
        <f t="shared" si="3"/>
        <v>340081.01</v>
      </c>
      <c r="N26" s="834" t="s">
        <v>85</v>
      </c>
      <c r="O26" s="834"/>
      <c r="P26" s="831">
        <f t="shared" si="0"/>
        <v>0</v>
      </c>
      <c r="Q26" s="831"/>
      <c r="R26" s="835">
        <v>1</v>
      </c>
      <c r="S26" s="835"/>
      <c r="T26" s="95">
        <f t="shared" si="4"/>
        <v>0</v>
      </c>
      <c r="U26" s="524">
        <f t="shared" si="5"/>
        <v>0</v>
      </c>
    </row>
    <row r="27" spans="1:21" x14ac:dyDescent="0.25">
      <c r="A27" s="788" t="s">
        <v>86</v>
      </c>
      <c r="B27" s="788"/>
      <c r="C27" s="143">
        <v>2.86</v>
      </c>
      <c r="D27" s="143">
        <v>0</v>
      </c>
      <c r="E27" s="116">
        <f t="shared" si="1"/>
        <v>5.72</v>
      </c>
      <c r="F27" s="833">
        <f>'1461'!F27:G27</f>
        <v>1.1919999999999999</v>
      </c>
      <c r="G27" s="833"/>
      <c r="H27" s="80">
        <f t="shared" si="2"/>
        <v>6.8182</v>
      </c>
      <c r="I27" s="101">
        <f t="shared" si="3"/>
        <v>37830.67</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523.5</v>
      </c>
      <c r="D30" s="94">
        <f>SUM(D14:D29)</f>
        <v>0</v>
      </c>
      <c r="E30" s="94">
        <f>SUM(E14:E29)</f>
        <v>1047</v>
      </c>
      <c r="F30" s="792"/>
      <c r="G30" s="792"/>
      <c r="H30" s="99">
        <f>SUM(H14:H29)</f>
        <v>1107.4811999999999</v>
      </c>
      <c r="I30" s="94">
        <f>SUM(I14:I29)</f>
        <v>6144841.71</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1107.4811999999999</v>
      </c>
      <c r="F46" s="34"/>
      <c r="G46" s="106"/>
      <c r="H46" s="107" t="s">
        <v>98</v>
      </c>
      <c r="I46" s="94">
        <f>SUM(I44,I30)</f>
        <v>6144841.71</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6146945.6800000006</v>
      </c>
      <c r="G51" s="109" t="s">
        <v>6</v>
      </c>
      <c r="H51" s="453">
        <v>5.5899999999999998E-2</v>
      </c>
      <c r="I51" s="101">
        <f>ROUND(F51*H51,2)</f>
        <v>343614.26</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6146945.6800000006</v>
      </c>
      <c r="G52" s="109" t="s">
        <v>6</v>
      </c>
      <c r="H52" s="453">
        <v>1.0699999999999999E-2</v>
      </c>
      <c r="I52" s="101">
        <f>ROUND(F52*H52,2)</f>
        <v>65772.320000000007</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409386.58</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27.5</v>
      </c>
      <c r="D57" s="143">
        <v>0</v>
      </c>
      <c r="E57" s="116">
        <f t="shared" ref="E57:E65" si="10">IF(D$66=0,C57*2,C57+D57)</f>
        <v>55</v>
      </c>
      <c r="F57" s="494" t="s">
        <v>498</v>
      </c>
      <c r="G57" s="494">
        <v>251</v>
      </c>
      <c r="H57" s="508">
        <f>'1461'!H57</f>
        <v>1047</v>
      </c>
      <c r="I57" s="101">
        <f>ROUND(E57*H57,2)</f>
        <v>57585</v>
      </c>
      <c r="N57" s="848" t="s">
        <v>506</v>
      </c>
      <c r="O57" s="848"/>
      <c r="P57" s="850"/>
      <c r="Q57" s="850"/>
      <c r="R57" s="500" t="s">
        <v>498</v>
      </c>
      <c r="S57" s="500">
        <v>251</v>
      </c>
      <c r="T57" s="511">
        <f>H57</f>
        <v>1047</v>
      </c>
      <c r="U57" s="525">
        <f>ROUND(P57*T57,2)</f>
        <v>0</v>
      </c>
      <c r="V57" s="475"/>
    </row>
    <row r="58" spans="1:22" x14ac:dyDescent="0.25">
      <c r="A58" s="799"/>
      <c r="B58" s="799"/>
      <c r="C58" s="143">
        <v>4.5</v>
      </c>
      <c r="D58" s="143">
        <v>0</v>
      </c>
      <c r="E58" s="116">
        <f t="shared" si="10"/>
        <v>9</v>
      </c>
      <c r="F58" s="494" t="s">
        <v>498</v>
      </c>
      <c r="G58" s="494">
        <v>252</v>
      </c>
      <c r="H58" s="508">
        <f>'1461'!H58</f>
        <v>3380</v>
      </c>
      <c r="I58" s="101">
        <f t="shared" ref="I58:I65" si="11">ROUND(E58*H58,2)</f>
        <v>30420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55.5</v>
      </c>
      <c r="D60" s="143">
        <v>0</v>
      </c>
      <c r="E60" s="116">
        <f t="shared" si="10"/>
        <v>111</v>
      </c>
      <c r="F60" s="495" t="s">
        <v>13</v>
      </c>
      <c r="G60" s="494">
        <v>251</v>
      </c>
      <c r="H60" s="508">
        <f>'1461'!H60</f>
        <v>1173</v>
      </c>
      <c r="I60" s="101">
        <f t="shared" si="11"/>
        <v>130203</v>
      </c>
      <c r="N60" s="849"/>
      <c r="O60" s="849"/>
      <c r="P60" s="851"/>
      <c r="Q60" s="851"/>
      <c r="R60" s="40" t="s">
        <v>13</v>
      </c>
      <c r="S60" s="500">
        <v>251</v>
      </c>
      <c r="T60" s="511">
        <f t="shared" si="12"/>
        <v>1173</v>
      </c>
      <c r="U60" s="525">
        <f t="shared" si="13"/>
        <v>0</v>
      </c>
      <c r="V60" s="475"/>
    </row>
    <row r="61" spans="1:22" x14ac:dyDescent="0.25">
      <c r="A61" s="799"/>
      <c r="B61" s="799"/>
      <c r="C61" s="143">
        <v>2</v>
      </c>
      <c r="D61" s="143">
        <v>0</v>
      </c>
      <c r="E61" s="116">
        <f t="shared" si="10"/>
        <v>4</v>
      </c>
      <c r="F61" s="495" t="s">
        <v>13</v>
      </c>
      <c r="G61" s="494">
        <v>252</v>
      </c>
      <c r="H61" s="508">
        <f>'1461'!H61</f>
        <v>3506</v>
      </c>
      <c r="I61" s="101">
        <f t="shared" si="11"/>
        <v>14024</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89.5</v>
      </c>
      <c r="D66" s="97">
        <f>SUM(D57:D65)</f>
        <v>0</v>
      </c>
      <c r="E66" s="97">
        <f>SUM(E57:E65)</f>
        <v>179</v>
      </c>
      <c r="F66" s="800" t="s">
        <v>507</v>
      </c>
      <c r="G66" s="800"/>
      <c r="H66" s="800"/>
      <c r="I66" s="97">
        <f>SUM(I57:I65)</f>
        <v>232232</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1047</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4.9639999999999997E-3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1107.4811999999999</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4.6610000000000002E-3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1047</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5.6039999999999996E-3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1047</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4.9709999999999997E-3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1047</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5.6129999999999999E-3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4.9709999999999997E-3</v>
      </c>
      <c r="I85" s="101">
        <f>ROUND(F85*H85,2)</f>
        <v>230165.84</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4.9639999999999997E-3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5.6129999999999999E-3</v>
      </c>
      <c r="I90" s="101">
        <f>ROUND(F90*H90,2)</f>
        <v>107353.62</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5.6039999999999996E-3</v>
      </c>
      <c r="I92" s="101">
        <f t="shared" ref="I92:I96" si="14">ROUND(F92*H92,2)</f>
        <v>64509.68</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4.6610000000000002E-3</v>
      </c>
      <c r="I94" s="101">
        <f t="shared" si="14"/>
        <v>1192082.52</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4.6610000000000002E-3</v>
      </c>
      <c r="I96" s="101">
        <f t="shared" si="14"/>
        <v>-71984.740000000005</v>
      </c>
      <c r="N96" s="853" t="s">
        <v>483</v>
      </c>
      <c r="O96" s="834"/>
      <c r="P96" s="834"/>
      <c r="Q96" s="44"/>
      <c r="R96" s="470">
        <f t="shared" si="15"/>
        <v>-15444055</v>
      </c>
      <c r="S96" s="38" t="s">
        <v>6</v>
      </c>
      <c r="T96" s="472">
        <f>T73</f>
        <v>0</v>
      </c>
      <c r="U96" s="524">
        <f>ROUND(R96*T96,2)</f>
        <v>0</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4.9639999999999997E-3</v>
      </c>
      <c r="I98" s="101">
        <f t="shared" ref="I98" si="16">ROUND(F98*H98,2)</f>
        <v>27904.75</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530.38300000000004</v>
      </c>
      <c r="D104" s="806"/>
      <c r="E104" s="46">
        <f>H8</f>
        <v>1.0407999999999999</v>
      </c>
      <c r="F104" s="302">
        <f>'1461'!F104</f>
        <v>950.92</v>
      </c>
      <c r="G104" s="39" t="s">
        <v>12</v>
      </c>
      <c r="H104" s="101">
        <f>ROUND(C104*E104*F104,2)</f>
        <v>524929.36</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577.09820000000002</v>
      </c>
      <c r="D105" s="806"/>
      <c r="E105" s="46">
        <f>H8</f>
        <v>1.0407999999999999</v>
      </c>
      <c r="F105" s="302">
        <f>'1461'!F105</f>
        <v>907.92</v>
      </c>
      <c r="G105" s="39" t="s">
        <v>12</v>
      </c>
      <c r="H105" s="101">
        <f>ROUND(C105*E105*F105,2)</f>
        <v>545336.52</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1107.4812000000002</v>
      </c>
      <c r="D107" s="796"/>
      <c r="E107" s="123"/>
      <c r="F107" s="123"/>
      <c r="G107" s="123"/>
      <c r="H107" s="124" t="s">
        <v>100</v>
      </c>
      <c r="I107" s="101">
        <f>IF(A1=75,0,H106+H105+H104)</f>
        <v>1070265.8799999999</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90</v>
      </c>
      <c r="D113" s="143">
        <v>0</v>
      </c>
      <c r="E113" s="116">
        <f>C113</f>
        <v>90</v>
      </c>
      <c r="F113" s="126" t="s">
        <v>30</v>
      </c>
      <c r="G113" s="303">
        <f>'1461'!G113</f>
        <v>607</v>
      </c>
      <c r="I113" s="101">
        <f>ROUND(G113*E113,2)</f>
        <v>54630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9052001.2599999979</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8642614.6799999978</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8642614.6799999978</v>
      </c>
      <c r="I135" s="94">
        <f>ROUND(IF(E30=0,0,IF(E30&gt;250,-(((250/E30)*H135)*IF(G135="H",0.02,0.05)),IF(G135="H",-0.02*H135,-0.05*H135))),2)</f>
        <v>-41273.230000000003</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9010728.0299999975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Payments'!Q82</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9010728.0299999975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750894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131579.06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116</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40.93</v>
      </c>
      <c r="D14" s="141">
        <v>0</v>
      </c>
      <c r="E14" s="187">
        <f>IF(D$30=0,C14*2,C14+D14)</f>
        <v>81.86</v>
      </c>
      <c r="F14" s="829">
        <f>'1461'!F14:G14</f>
        <v>1.1180000000000001</v>
      </c>
      <c r="G14" s="829"/>
      <c r="H14" s="145">
        <f>ROUND(E14*F14,4)</f>
        <v>91.519499999999994</v>
      </c>
      <c r="I14" s="111">
        <f>ROUND(ROUND(ROUND(H14*$C$8,4)*($H$8),2)*(MAX($H$9,1)),2)</f>
        <v>507794.48</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7.5</v>
      </c>
      <c r="D15" s="143">
        <v>0</v>
      </c>
      <c r="E15" s="116">
        <f t="shared" ref="E15:E29" si="1">IF(D$30=0,C15*2,C15+D15)</f>
        <v>15</v>
      </c>
      <c r="F15" s="833">
        <f>'1461'!F15:G15</f>
        <v>1.1180000000000001</v>
      </c>
      <c r="G15" s="833"/>
      <c r="H15" s="80">
        <f t="shared" ref="H15:H29" si="2">ROUND(E15*F15,4)</f>
        <v>16.77</v>
      </c>
      <c r="I15" s="101">
        <f t="shared" ref="I15:I29" si="3">ROUND(ROUND(ROUND(H15*$C$8,4)*($H$8),2)*(MAX($H$9,1)),2)</f>
        <v>93048.08</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65.63</v>
      </c>
      <c r="D16" s="143">
        <v>0</v>
      </c>
      <c r="E16" s="116">
        <f t="shared" si="1"/>
        <v>131.26</v>
      </c>
      <c r="F16" s="833">
        <f>'1461'!F16:G16</f>
        <v>1</v>
      </c>
      <c r="G16" s="833"/>
      <c r="H16" s="80">
        <f t="shared" si="2"/>
        <v>131.26</v>
      </c>
      <c r="I16" s="101">
        <f t="shared" si="3"/>
        <v>728294.01</v>
      </c>
      <c r="N16" s="834" t="s">
        <v>22</v>
      </c>
      <c r="O16" s="834"/>
      <c r="P16" s="831">
        <f t="shared" si="0"/>
        <v>0</v>
      </c>
      <c r="Q16" s="831"/>
      <c r="R16" s="835">
        <v>1</v>
      </c>
      <c r="S16" s="835"/>
      <c r="T16" s="95">
        <f t="shared" si="4"/>
        <v>0</v>
      </c>
      <c r="U16" s="524">
        <f t="shared" si="5"/>
        <v>0</v>
      </c>
    </row>
    <row r="17" spans="1:21" x14ac:dyDescent="0.25">
      <c r="A17" s="788" t="s">
        <v>23</v>
      </c>
      <c r="B17" s="788"/>
      <c r="C17" s="143">
        <v>16</v>
      </c>
      <c r="D17" s="143">
        <v>0</v>
      </c>
      <c r="E17" s="116">
        <f t="shared" si="1"/>
        <v>32</v>
      </c>
      <c r="F17" s="833">
        <f>'1461'!F17:G17</f>
        <v>1</v>
      </c>
      <c r="G17" s="833"/>
      <c r="H17" s="80">
        <f t="shared" si="2"/>
        <v>32</v>
      </c>
      <c r="I17" s="101">
        <f t="shared" si="3"/>
        <v>177551.49</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0.5</v>
      </c>
      <c r="D20" s="143">
        <v>0</v>
      </c>
      <c r="E20" s="116">
        <f t="shared" si="1"/>
        <v>1</v>
      </c>
      <c r="F20" s="833">
        <f>'1461'!F20:G20</f>
        <v>3.6970000000000001</v>
      </c>
      <c r="G20" s="833"/>
      <c r="H20" s="80">
        <f t="shared" si="2"/>
        <v>3.6970000000000001</v>
      </c>
      <c r="I20" s="101">
        <f t="shared" si="3"/>
        <v>20512.75</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4.07</v>
      </c>
      <c r="D26" s="143">
        <v>0</v>
      </c>
      <c r="E26" s="116">
        <f t="shared" si="1"/>
        <v>8.14</v>
      </c>
      <c r="F26" s="833">
        <f>'1461'!F26:G26</f>
        <v>1.1919999999999999</v>
      </c>
      <c r="G26" s="833"/>
      <c r="H26" s="80">
        <f t="shared" si="2"/>
        <v>9.7028999999999996</v>
      </c>
      <c r="I26" s="101">
        <f t="shared" si="3"/>
        <v>53836.39</v>
      </c>
      <c r="N26" s="834" t="s">
        <v>85</v>
      </c>
      <c r="O26" s="834"/>
      <c r="P26" s="831">
        <f t="shared" si="0"/>
        <v>0</v>
      </c>
      <c r="Q26" s="831"/>
      <c r="R26" s="835">
        <v>1</v>
      </c>
      <c r="S26" s="835"/>
      <c r="T26" s="95">
        <f t="shared" si="4"/>
        <v>0</v>
      </c>
      <c r="U26" s="524">
        <f t="shared" si="5"/>
        <v>0</v>
      </c>
    </row>
    <row r="27" spans="1:21" x14ac:dyDescent="0.25">
      <c r="A27" s="788" t="s">
        <v>86</v>
      </c>
      <c r="B27" s="788"/>
      <c r="C27" s="143">
        <v>0.87</v>
      </c>
      <c r="D27" s="143">
        <v>0</v>
      </c>
      <c r="E27" s="116">
        <f t="shared" si="1"/>
        <v>1.74</v>
      </c>
      <c r="F27" s="833">
        <f>'1461'!F27:G27</f>
        <v>1.1919999999999999</v>
      </c>
      <c r="G27" s="833"/>
      <c r="H27" s="80">
        <f t="shared" si="2"/>
        <v>2.0741000000000001</v>
      </c>
      <c r="I27" s="101">
        <f t="shared" si="3"/>
        <v>11508.11</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135.5</v>
      </c>
      <c r="D30" s="94">
        <f>SUM(D14:D29)</f>
        <v>0</v>
      </c>
      <c r="E30" s="94">
        <f>SUM(E14:E29)</f>
        <v>271</v>
      </c>
      <c r="F30" s="792"/>
      <c r="G30" s="792"/>
      <c r="H30" s="99">
        <f>SUM(H14:H29)</f>
        <v>287.02349999999996</v>
      </c>
      <c r="I30" s="94">
        <f>SUM(I14:I29)</f>
        <v>1592545.3099999998</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287.02349999999996</v>
      </c>
      <c r="F46" s="34"/>
      <c r="G46" s="106"/>
      <c r="H46" s="107" t="s">
        <v>98</v>
      </c>
      <c r="I46" s="94">
        <f>SUM(I44,I30)</f>
        <v>1592545.3099999998</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1484980.7200000004</v>
      </c>
      <c r="G51" s="109" t="s">
        <v>6</v>
      </c>
      <c r="H51" s="453">
        <v>5.5899999999999998E-2</v>
      </c>
      <c r="I51" s="101">
        <f>ROUND(F51*H51,2)</f>
        <v>83010.42</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1484980.7200000004</v>
      </c>
      <c r="G52" s="109" t="s">
        <v>6</v>
      </c>
      <c r="H52" s="453">
        <v>1.0699999999999999E-2</v>
      </c>
      <c r="I52" s="101">
        <f>ROUND(F52*H52,2)</f>
        <v>15889.29</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98899.709999999992</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5.5</v>
      </c>
      <c r="D57" s="143">
        <v>0</v>
      </c>
      <c r="E57" s="116">
        <f t="shared" ref="E57:E65" si="10">IF(D$66=0,C57*2,C57+D57)</f>
        <v>11</v>
      </c>
      <c r="F57" s="494" t="s">
        <v>498</v>
      </c>
      <c r="G57" s="494">
        <v>251</v>
      </c>
      <c r="H57" s="508">
        <f>'1461'!H57</f>
        <v>1047</v>
      </c>
      <c r="I57" s="101">
        <f>ROUND(E57*H57,2)</f>
        <v>11517</v>
      </c>
      <c r="N57" s="848" t="s">
        <v>506</v>
      </c>
      <c r="O57" s="848"/>
      <c r="P57" s="850"/>
      <c r="Q57" s="850"/>
      <c r="R57" s="500" t="s">
        <v>498</v>
      </c>
      <c r="S57" s="500">
        <v>251</v>
      </c>
      <c r="T57" s="511">
        <f>H57</f>
        <v>1047</v>
      </c>
      <c r="U57" s="525">
        <f>ROUND(P57*T57,2)</f>
        <v>0</v>
      </c>
      <c r="V57" s="475"/>
    </row>
    <row r="58" spans="1:22" x14ac:dyDescent="0.25">
      <c r="A58" s="799"/>
      <c r="B58" s="799"/>
      <c r="C58" s="143">
        <v>1</v>
      </c>
      <c r="D58" s="143">
        <v>0</v>
      </c>
      <c r="E58" s="116">
        <f t="shared" si="10"/>
        <v>2</v>
      </c>
      <c r="F58" s="494" t="s">
        <v>498</v>
      </c>
      <c r="G58" s="494">
        <v>252</v>
      </c>
      <c r="H58" s="508">
        <f>'1461'!H58</f>
        <v>3380</v>
      </c>
      <c r="I58" s="101">
        <f t="shared" ref="I58:I65" si="11">ROUND(E58*H58,2)</f>
        <v>6760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1</v>
      </c>
      <c r="D59" s="143">
        <v>0</v>
      </c>
      <c r="E59" s="116">
        <f t="shared" si="10"/>
        <v>2</v>
      </c>
      <c r="F59" s="494" t="s">
        <v>498</v>
      </c>
      <c r="G59" s="494">
        <v>253</v>
      </c>
      <c r="H59" s="508">
        <f>'1461'!H59</f>
        <v>6896</v>
      </c>
      <c r="I59" s="101">
        <f t="shared" si="11"/>
        <v>13792</v>
      </c>
      <c r="N59" s="849"/>
      <c r="O59" s="849"/>
      <c r="P59" s="851"/>
      <c r="Q59" s="851"/>
      <c r="R59" s="500" t="s">
        <v>498</v>
      </c>
      <c r="S59" s="500">
        <v>253</v>
      </c>
      <c r="T59" s="511">
        <f t="shared" si="12"/>
        <v>6896</v>
      </c>
      <c r="U59" s="525">
        <f t="shared" si="13"/>
        <v>0</v>
      </c>
      <c r="V59" s="475"/>
    </row>
    <row r="60" spans="1:22" x14ac:dyDescent="0.25">
      <c r="A60" s="799"/>
      <c r="B60" s="799"/>
      <c r="C60" s="143">
        <v>15</v>
      </c>
      <c r="D60" s="143">
        <v>0</v>
      </c>
      <c r="E60" s="116">
        <f t="shared" si="10"/>
        <v>30</v>
      </c>
      <c r="F60" s="495" t="s">
        <v>13</v>
      </c>
      <c r="G60" s="494">
        <v>251</v>
      </c>
      <c r="H60" s="508">
        <f>'1461'!H60</f>
        <v>1173</v>
      </c>
      <c r="I60" s="101">
        <f t="shared" si="11"/>
        <v>35190</v>
      </c>
      <c r="N60" s="849"/>
      <c r="O60" s="849"/>
      <c r="P60" s="851"/>
      <c r="Q60" s="851"/>
      <c r="R60" s="40" t="s">
        <v>13</v>
      </c>
      <c r="S60" s="500">
        <v>251</v>
      </c>
      <c r="T60" s="511">
        <f t="shared" si="12"/>
        <v>1173</v>
      </c>
      <c r="U60" s="525">
        <f t="shared" si="13"/>
        <v>0</v>
      </c>
      <c r="V60" s="475"/>
    </row>
    <row r="61" spans="1:22" x14ac:dyDescent="0.25">
      <c r="A61" s="799"/>
      <c r="B61" s="799"/>
      <c r="C61" s="143">
        <v>1</v>
      </c>
      <c r="D61" s="143">
        <v>0</v>
      </c>
      <c r="E61" s="116">
        <f t="shared" si="10"/>
        <v>2</v>
      </c>
      <c r="F61" s="495" t="s">
        <v>13</v>
      </c>
      <c r="G61" s="494">
        <v>252</v>
      </c>
      <c r="H61" s="508">
        <f>'1461'!H61</f>
        <v>3506</v>
      </c>
      <c r="I61" s="101">
        <f t="shared" si="11"/>
        <v>7012</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23.5</v>
      </c>
      <c r="D66" s="97">
        <f>SUM(D57:D65)</f>
        <v>0</v>
      </c>
      <c r="E66" s="97">
        <f>SUM(E57:E65)</f>
        <v>47</v>
      </c>
      <c r="F66" s="800" t="s">
        <v>507</v>
      </c>
      <c r="G66" s="800"/>
      <c r="H66" s="800"/>
      <c r="I66" s="97">
        <f>SUM(I57:I65)</f>
        <v>74271</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271</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1.2849999999999999E-3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287.02349999999996</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1.2080000000000001E-3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271</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1.451E-3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271</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1.2869999999999999E-3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271</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1.4530000000000001E-3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1.2869999999999999E-3</v>
      </c>
      <c r="I85" s="101">
        <f>ROUND(F85*H85,2)</f>
        <v>59590.31</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1.2849999999999999E-3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1.4530000000000001E-3</v>
      </c>
      <c r="I90" s="101">
        <f>ROUND(F90*H90,2)</f>
        <v>27789.919999999998</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1.451E-3</v>
      </c>
      <c r="I92" s="101">
        <f t="shared" ref="I92:I96" si="14">ROUND(F92*H92,2)</f>
        <v>16702.990000000002</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1.2080000000000001E-3</v>
      </c>
      <c r="I94" s="101">
        <f t="shared" si="14"/>
        <v>308954.23</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1.2080000000000001E-3</v>
      </c>
      <c r="I96" s="101">
        <f t="shared" si="14"/>
        <v>-18656.419999999998</v>
      </c>
      <c r="N96" s="853" t="s">
        <v>483</v>
      </c>
      <c r="O96" s="834"/>
      <c r="P96" s="834"/>
      <c r="Q96" s="44"/>
      <c r="R96" s="470">
        <f t="shared" si="15"/>
        <v>-15444055</v>
      </c>
      <c r="S96" s="38" t="s">
        <v>6</v>
      </c>
      <c r="T96" s="472">
        <f>T73</f>
        <v>0</v>
      </c>
      <c r="U96" s="524">
        <f>ROUND(R96*T96,2)</f>
        <v>0</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1.2849999999999999E-3</v>
      </c>
      <c r="I98" s="101">
        <f t="shared" ref="I98" si="16">ROUND(F98*H98,2)</f>
        <v>7223.53</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121.68939999999999</v>
      </c>
      <c r="D104" s="806"/>
      <c r="E104" s="46">
        <f>H8</f>
        <v>1.0407999999999999</v>
      </c>
      <c r="F104" s="302">
        <f>'1461'!F104</f>
        <v>950.92</v>
      </c>
      <c r="G104" s="39" t="s">
        <v>12</v>
      </c>
      <c r="H104" s="101">
        <f>ROUND(C104*E104*F104,2)</f>
        <v>120438.13</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165.33409999999998</v>
      </c>
      <c r="D105" s="806"/>
      <c r="E105" s="46">
        <f>H8</f>
        <v>1.0407999999999999</v>
      </c>
      <c r="F105" s="302">
        <f>'1461'!F105</f>
        <v>907.92</v>
      </c>
      <c r="G105" s="39" t="s">
        <v>12</v>
      </c>
      <c r="H105" s="101">
        <f>ROUND(C105*E105*F105,2)</f>
        <v>156234.63</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287.02349999999996</v>
      </c>
      <c r="D107" s="796"/>
      <c r="E107" s="123"/>
      <c r="F107" s="123"/>
      <c r="G107" s="123"/>
      <c r="H107" s="124" t="s">
        <v>100</v>
      </c>
      <c r="I107" s="101">
        <f>IF(A1=75,0,H106+H105+H104)</f>
        <v>276672.76</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263</v>
      </c>
      <c r="D113" s="143">
        <v>0</v>
      </c>
      <c r="E113" s="116">
        <f>C113</f>
        <v>263</v>
      </c>
      <c r="F113" s="126" t="s">
        <v>30</v>
      </c>
      <c r="G113" s="303">
        <f>'1461'!G113</f>
        <v>607</v>
      </c>
      <c r="I113" s="101">
        <f>ROUND(G113*E113,2)</f>
        <v>159641</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2504734.63</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2405834.92</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2405834.92</v>
      </c>
      <c r="I135" s="94">
        <f>ROUND(IF(E30=0,0,IF(E30&gt;250,-(((250/E30)*H135)*IF(G135="H",0.02,0.05)),IF(G135="H",-0.02*H135,-0.05*H135))),2)</f>
        <v>-110970.25</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2393764.38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Payments'!Q83</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2393764.38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199480.37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9321.5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117</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0</v>
      </c>
      <c r="D30" s="94">
        <f>SUM(D14:D29)</f>
        <v>0</v>
      </c>
      <c r="E30" s="94">
        <f>SUM(E14:E29)</f>
        <v>0</v>
      </c>
      <c r="F30" s="792"/>
      <c r="G30" s="792"/>
      <c r="H30" s="99">
        <f>SUM(H14:H29)</f>
        <v>0</v>
      </c>
      <c r="I30" s="94">
        <f>SUM(I14:I29)</f>
        <v>0</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173308.56</v>
      </c>
      <c r="G51" s="109" t="s">
        <v>6</v>
      </c>
      <c r="H51" s="453">
        <v>5.5899999999999998E-2</v>
      </c>
      <c r="I51" s="101">
        <v>0</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173308.56</v>
      </c>
      <c r="G52" s="109" t="s">
        <v>6</v>
      </c>
      <c r="H52" s="453">
        <v>1.0699999999999999E-2</v>
      </c>
      <c r="I52" s="101">
        <v>0</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0</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0</v>
      </c>
      <c r="D66" s="97">
        <f>SUM(D57:D65)</f>
        <v>0</v>
      </c>
      <c r="E66" s="97">
        <f>SUM(E57:E65)</f>
        <v>0</v>
      </c>
      <c r="F66" s="800" t="s">
        <v>507</v>
      </c>
      <c r="G66" s="800"/>
      <c r="H66" s="800"/>
      <c r="I66" s="97">
        <f>SUM(I57:I65)</f>
        <v>0</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0</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0</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0</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0</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0</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0</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0</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0</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0</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0</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0</v>
      </c>
      <c r="I85" s="101">
        <f>ROUND(F85*H85,2)</f>
        <v>0</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0</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0</v>
      </c>
      <c r="I90" s="101">
        <f>ROUND(F90*H90,2)</f>
        <v>0</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0</v>
      </c>
      <c r="I92" s="101">
        <f t="shared" ref="I92:I96" si="14">ROUND(F92*H92,2)</f>
        <v>0</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0</v>
      </c>
      <c r="I94" s="101">
        <f t="shared" si="14"/>
        <v>0</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0</v>
      </c>
      <c r="I96" s="101">
        <f t="shared" si="14"/>
        <v>0</v>
      </c>
      <c r="N96" s="853" t="s">
        <v>483</v>
      </c>
      <c r="O96" s="834"/>
      <c r="P96" s="834"/>
      <c r="Q96" s="44"/>
      <c r="R96" s="470">
        <f t="shared" si="15"/>
        <v>-15444055</v>
      </c>
      <c r="S96" s="38" t="s">
        <v>6</v>
      </c>
      <c r="T96" s="472">
        <f>T73</f>
        <v>0</v>
      </c>
      <c r="U96" s="524">
        <f>ROUND(R96*T96,2)</f>
        <v>0</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0</v>
      </c>
      <c r="I98" s="101">
        <f t="shared" ref="I98" si="16">ROUND(F98*H98,2)</f>
        <v>0</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0</v>
      </c>
      <c r="D107" s="796"/>
      <c r="E107" s="123"/>
      <c r="F107" s="123"/>
      <c r="G107" s="123"/>
      <c r="H107" s="124" t="s">
        <v>100</v>
      </c>
      <c r="I107" s="101">
        <f>IF(A1=75,0,H106+H105+H104)</f>
        <v>0</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0</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0</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v>1</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Payments'!Q84</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0</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118</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40.119999999999997</v>
      </c>
      <c r="D14" s="141">
        <v>0</v>
      </c>
      <c r="E14" s="187">
        <f>IF(D$30=0,C14*2,C14+D14)</f>
        <v>80.239999999999995</v>
      </c>
      <c r="F14" s="829">
        <f>'1461'!F14:G14</f>
        <v>1.1180000000000001</v>
      </c>
      <c r="G14" s="829"/>
      <c r="H14" s="145">
        <f>ROUND(E14*F14,4)</f>
        <v>89.708299999999994</v>
      </c>
      <c r="I14" s="111">
        <f>ROUND(ROUND(ROUND(H14*$C$8,4)*($H$8),2)*(MAX($H$9,1)),2)</f>
        <v>497745.07</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5</v>
      </c>
      <c r="D15" s="143">
        <v>0</v>
      </c>
      <c r="E15" s="116">
        <f t="shared" ref="E15:E29" si="1">IF(D$30=0,C15*2,C15+D15)</f>
        <v>10</v>
      </c>
      <c r="F15" s="833">
        <f>'1461'!F15:G15</f>
        <v>1.1180000000000001</v>
      </c>
      <c r="G15" s="833"/>
      <c r="H15" s="80">
        <f t="shared" ref="H15:H29" si="2">ROUND(E15*F15,4)</f>
        <v>11.18</v>
      </c>
      <c r="I15" s="101">
        <f t="shared" ref="I15:I29" si="3">ROUND(ROUND(ROUND(H15*$C$8,4)*($H$8),2)*(MAX($H$9,1)),2)</f>
        <v>62032.05</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17</v>
      </c>
      <c r="D16" s="143">
        <v>0</v>
      </c>
      <c r="E16" s="116">
        <f t="shared" si="1"/>
        <v>34</v>
      </c>
      <c r="F16" s="833">
        <f>'1461'!F16:G16</f>
        <v>1</v>
      </c>
      <c r="G16" s="833"/>
      <c r="H16" s="80">
        <f t="shared" si="2"/>
        <v>34</v>
      </c>
      <c r="I16" s="101">
        <f t="shared" si="3"/>
        <v>188648.46</v>
      </c>
      <c r="N16" s="834" t="s">
        <v>22</v>
      </c>
      <c r="O16" s="834"/>
      <c r="P16" s="831">
        <f t="shared" si="0"/>
        <v>0</v>
      </c>
      <c r="Q16" s="831"/>
      <c r="R16" s="835">
        <v>1</v>
      </c>
      <c r="S16" s="835"/>
      <c r="T16" s="95">
        <f t="shared" si="4"/>
        <v>0</v>
      </c>
      <c r="U16" s="524">
        <f t="shared" si="5"/>
        <v>0</v>
      </c>
    </row>
    <row r="17" spans="1:21" x14ac:dyDescent="0.25">
      <c r="A17" s="788" t="s">
        <v>23</v>
      </c>
      <c r="B17" s="788"/>
      <c r="C17" s="143">
        <v>2.5</v>
      </c>
      <c r="D17" s="143">
        <v>0</v>
      </c>
      <c r="E17" s="116">
        <f t="shared" si="1"/>
        <v>5</v>
      </c>
      <c r="F17" s="833">
        <f>'1461'!F17:G17</f>
        <v>1</v>
      </c>
      <c r="G17" s="833"/>
      <c r="H17" s="80">
        <f t="shared" si="2"/>
        <v>5</v>
      </c>
      <c r="I17" s="101">
        <f t="shared" si="3"/>
        <v>27742.42</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26.379999999999995</v>
      </c>
      <c r="D26" s="143">
        <v>0</v>
      </c>
      <c r="E26" s="116">
        <f t="shared" si="1"/>
        <v>52.759999999999991</v>
      </c>
      <c r="F26" s="833">
        <f>'1461'!F26:G26</f>
        <v>1.1919999999999999</v>
      </c>
      <c r="G26" s="833"/>
      <c r="H26" s="80">
        <f t="shared" si="2"/>
        <v>62.889899999999997</v>
      </c>
      <c r="I26" s="101">
        <f t="shared" si="3"/>
        <v>348943.6</v>
      </c>
      <c r="N26" s="834" t="s">
        <v>85</v>
      </c>
      <c r="O26" s="834"/>
      <c r="P26" s="831">
        <f t="shared" si="0"/>
        <v>0</v>
      </c>
      <c r="Q26" s="831"/>
      <c r="R26" s="835">
        <v>1</v>
      </c>
      <c r="S26" s="835"/>
      <c r="T26" s="95">
        <f t="shared" si="4"/>
        <v>0</v>
      </c>
      <c r="U26" s="524">
        <f t="shared" si="5"/>
        <v>0</v>
      </c>
    </row>
    <row r="27" spans="1:21" x14ac:dyDescent="0.25">
      <c r="A27" s="788" t="s">
        <v>86</v>
      </c>
      <c r="B27" s="788"/>
      <c r="C27" s="143">
        <v>5</v>
      </c>
      <c r="D27" s="143">
        <v>0</v>
      </c>
      <c r="E27" s="116">
        <f t="shared" si="1"/>
        <v>10</v>
      </c>
      <c r="F27" s="833">
        <f>'1461'!F27:G27</f>
        <v>1.1919999999999999</v>
      </c>
      <c r="G27" s="833"/>
      <c r="H27" s="80">
        <f t="shared" si="2"/>
        <v>11.92</v>
      </c>
      <c r="I27" s="101">
        <f t="shared" si="3"/>
        <v>66137.929999999993</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96</v>
      </c>
      <c r="D30" s="94">
        <f>SUM(D14:D29)</f>
        <v>0</v>
      </c>
      <c r="E30" s="94">
        <f>SUM(E14:E29)</f>
        <v>192</v>
      </c>
      <c r="F30" s="792"/>
      <c r="G30" s="792"/>
      <c r="H30" s="99">
        <f>SUM(H14:H29)</f>
        <v>214.69819999999996</v>
      </c>
      <c r="I30" s="94">
        <f>SUM(I14:I29)</f>
        <v>1191249.53</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214.69819999999996</v>
      </c>
      <c r="F46" s="34"/>
      <c r="G46" s="106"/>
      <c r="H46" s="107" t="s">
        <v>98</v>
      </c>
      <c r="I46" s="94">
        <f>SUM(I44,I30)</f>
        <v>1191249.53</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1247703.69</v>
      </c>
      <c r="G51" s="109" t="s">
        <v>6</v>
      </c>
      <c r="H51" s="453">
        <v>5.5899999999999998E-2</v>
      </c>
      <c r="I51" s="101">
        <f>ROUND(F51*H51,2)</f>
        <v>69746.64</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1247703.69</v>
      </c>
      <c r="G52" s="109" t="s">
        <v>6</v>
      </c>
      <c r="H52" s="453">
        <v>1.0699999999999999E-2</v>
      </c>
      <c r="I52" s="101">
        <f>ROUND(F52*H52,2)</f>
        <v>13350.43</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83097.070000000007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5</v>
      </c>
      <c r="D57" s="143">
        <v>0</v>
      </c>
      <c r="E57" s="116">
        <f t="shared" ref="E57:E65" si="10">IF(D$66=0,C57*2,C57+D57)</f>
        <v>10</v>
      </c>
      <c r="F57" s="494" t="s">
        <v>498</v>
      </c>
      <c r="G57" s="494">
        <v>251</v>
      </c>
      <c r="H57" s="508">
        <f>'1461'!H57</f>
        <v>1047</v>
      </c>
      <c r="I57" s="101">
        <f>ROUND(E57*H57,2)</f>
        <v>10470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2</v>
      </c>
      <c r="D60" s="143">
        <v>0</v>
      </c>
      <c r="E60" s="116">
        <f t="shared" si="10"/>
        <v>4</v>
      </c>
      <c r="F60" s="495" t="s">
        <v>13</v>
      </c>
      <c r="G60" s="494">
        <v>251</v>
      </c>
      <c r="H60" s="508">
        <f>'1461'!H60</f>
        <v>1173</v>
      </c>
      <c r="I60" s="101">
        <f t="shared" si="11"/>
        <v>4692</v>
      </c>
      <c r="N60" s="849"/>
      <c r="O60" s="849"/>
      <c r="P60" s="851"/>
      <c r="Q60" s="851"/>
      <c r="R60" s="40" t="s">
        <v>13</v>
      </c>
      <c r="S60" s="500">
        <v>251</v>
      </c>
      <c r="T60" s="511">
        <f t="shared" si="12"/>
        <v>1173</v>
      </c>
      <c r="U60" s="525">
        <f t="shared" si="13"/>
        <v>0</v>
      </c>
      <c r="V60" s="475"/>
    </row>
    <row r="61" spans="1:22" x14ac:dyDescent="0.25">
      <c r="A61" s="799"/>
      <c r="B61" s="799"/>
      <c r="C61" s="143">
        <v>0.5</v>
      </c>
      <c r="D61" s="143">
        <v>0</v>
      </c>
      <c r="E61" s="116">
        <f t="shared" si="10"/>
        <v>1</v>
      </c>
      <c r="F61" s="495" t="s">
        <v>13</v>
      </c>
      <c r="G61" s="494">
        <v>252</v>
      </c>
      <c r="H61" s="508">
        <f>'1461'!H61</f>
        <v>3506</v>
      </c>
      <c r="I61" s="101">
        <f t="shared" si="11"/>
        <v>3506</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7.5</v>
      </c>
      <c r="D66" s="97">
        <f>SUM(D57:D65)</f>
        <v>0</v>
      </c>
      <c r="E66" s="97">
        <f>SUM(E57:E65)</f>
        <v>15</v>
      </c>
      <c r="F66" s="800" t="s">
        <v>507</v>
      </c>
      <c r="G66" s="800"/>
      <c r="H66" s="800"/>
      <c r="I66" s="97">
        <f>SUM(I57:I65)</f>
        <v>18668</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192</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9.1E-4</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214.69819999999996</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9.0399999999999996E-4</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192</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1.0280000000000001E-3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192</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9.1200000000000005E-4</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192</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1.029E-3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9.1200000000000005E-4</v>
      </c>
      <c r="I85" s="101">
        <f>ROUND(F85*H85,2)</f>
        <v>42227.17</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9.1E-4</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1.029E-3</v>
      </c>
      <c r="I90" s="101">
        <f>ROUND(F90*H90,2)</f>
        <v>19680.54</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1.0280000000000001E-3</v>
      </c>
      <c r="I92" s="101">
        <f t="shared" ref="I92:I96" si="14">ROUND(F92*H92,2)</f>
        <v>11833.68</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9.0399999999999996E-4</v>
      </c>
      <c r="I94" s="101">
        <f t="shared" si="14"/>
        <v>231204.16</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9.0399999999999996E-4</v>
      </c>
      <c r="I96" s="101">
        <f t="shared" si="14"/>
        <v>-13961.43</v>
      </c>
      <c r="N96" s="853" t="s">
        <v>483</v>
      </c>
      <c r="O96" s="834"/>
      <c r="P96" s="834"/>
      <c r="Q96" s="44"/>
      <c r="R96" s="470">
        <f t="shared" si="15"/>
        <v>-15444055</v>
      </c>
      <c r="S96" s="38" t="s">
        <v>6</v>
      </c>
      <c r="T96" s="472">
        <f>T73</f>
        <v>0</v>
      </c>
      <c r="U96" s="524">
        <f>ROUND(R96*T96,2)</f>
        <v>0</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9.1E-4</v>
      </c>
      <c r="I98" s="101">
        <f t="shared" ref="I98" si="16">ROUND(F98*H98,2)</f>
        <v>5115.5</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163.77819999999997</v>
      </c>
      <c r="D104" s="806"/>
      <c r="E104" s="46">
        <f>H8</f>
        <v>1.0407999999999999</v>
      </c>
      <c r="F104" s="302">
        <f>'1461'!F104</f>
        <v>950.92</v>
      </c>
      <c r="G104" s="39" t="s">
        <v>12</v>
      </c>
      <c r="H104" s="101">
        <f>ROUND(C104*E104*F104,2)</f>
        <v>162094.16</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50.92</v>
      </c>
      <c r="D105" s="806"/>
      <c r="E105" s="46">
        <f>H8</f>
        <v>1.0407999999999999</v>
      </c>
      <c r="F105" s="302">
        <f>'1461'!F105</f>
        <v>907.92</v>
      </c>
      <c r="G105" s="39" t="s">
        <v>12</v>
      </c>
      <c r="H105" s="101">
        <f>ROUND(C105*E105*F105,2)</f>
        <v>48117.52</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214.69819999999999</v>
      </c>
      <c r="D107" s="796"/>
      <c r="E107" s="123"/>
      <c r="F107" s="123"/>
      <c r="G107" s="123"/>
      <c r="H107" s="124" t="s">
        <v>100</v>
      </c>
      <c r="I107" s="101">
        <f>IF(A1=75,0,H106+H105+H104)</f>
        <v>210211.68</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9</v>
      </c>
      <c r="D113" s="143">
        <v>0</v>
      </c>
      <c r="E113" s="116">
        <f>C113</f>
        <v>9</v>
      </c>
      <c r="F113" s="126" t="s">
        <v>30</v>
      </c>
      <c r="G113" s="303">
        <f>'1461'!G113</f>
        <v>607</v>
      </c>
      <c r="I113" s="101">
        <f>ROUND(G113*E113,2)</f>
        <v>5463</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1721691.8299999998</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1638594.7599999998</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1638594.7599999998</v>
      </c>
      <c r="I135" s="94">
        <f>ROUND(IF(E30=0,0,IF(E30&gt;250,-(((250/E30)*H135)*IF(G135="H",0.02,0.05)),IF(G135="H",-0.02*H135,-0.05*H135))),2)</f>
        <v>-81929.740000000005</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1639762.0899999999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Payments'!Q85</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1639762.0899999999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136646.84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285</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75</v>
      </c>
      <c r="D14" s="141">
        <v>0</v>
      </c>
      <c r="E14" s="187">
        <f>IF(D$30=0,C14*2,C14+D14)</f>
        <v>150</v>
      </c>
      <c r="F14" s="829">
        <f>'1461'!F14:G14</f>
        <v>1.1180000000000001</v>
      </c>
      <c r="G14" s="829"/>
      <c r="H14" s="145">
        <f>ROUND(E14*F14,4)</f>
        <v>167.7</v>
      </c>
      <c r="I14" s="111">
        <f>ROUND(ROUND(ROUND(H14*$C$8,4)*($H$8),2)*(MAX($H$9,1)),2)</f>
        <v>930480.76</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8</v>
      </c>
      <c r="D15" s="143">
        <v>0</v>
      </c>
      <c r="E15" s="116">
        <f t="shared" ref="E15:E29" si="1">IF(D$30=0,C15*2,C15+D15)</f>
        <v>16</v>
      </c>
      <c r="F15" s="833">
        <f>'1461'!F15:G15</f>
        <v>1.1180000000000001</v>
      </c>
      <c r="G15" s="833"/>
      <c r="H15" s="80">
        <f t="shared" ref="H15:H29" si="2">ROUND(E15*F15,4)</f>
        <v>17.888000000000002</v>
      </c>
      <c r="I15" s="101">
        <f t="shared" ref="I15:I29" si="3">ROUND(ROUND(ROUND(H15*$C$8,4)*($H$8),2)*(MAX($H$9,1)),2)</f>
        <v>99251.28</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101.7</v>
      </c>
      <c r="D16" s="143">
        <v>0</v>
      </c>
      <c r="E16" s="116">
        <f t="shared" si="1"/>
        <v>203.4</v>
      </c>
      <c r="F16" s="833">
        <f>'1461'!F16:G16</f>
        <v>1</v>
      </c>
      <c r="G16" s="833"/>
      <c r="H16" s="80">
        <f t="shared" si="2"/>
        <v>203.4</v>
      </c>
      <c r="I16" s="101">
        <f t="shared" si="3"/>
        <v>1128561.6399999999</v>
      </c>
      <c r="N16" s="834" t="s">
        <v>22</v>
      </c>
      <c r="O16" s="834"/>
      <c r="P16" s="831">
        <f t="shared" si="0"/>
        <v>0</v>
      </c>
      <c r="Q16" s="831"/>
      <c r="R16" s="835">
        <v>1</v>
      </c>
      <c r="S16" s="835"/>
      <c r="T16" s="95">
        <f t="shared" si="4"/>
        <v>0</v>
      </c>
      <c r="U16" s="524">
        <f t="shared" si="5"/>
        <v>0</v>
      </c>
    </row>
    <row r="17" spans="1:21" x14ac:dyDescent="0.25">
      <c r="A17" s="788" t="s">
        <v>23</v>
      </c>
      <c r="B17" s="788"/>
      <c r="C17" s="143">
        <v>17.5</v>
      </c>
      <c r="D17" s="143">
        <v>0</v>
      </c>
      <c r="E17" s="116">
        <f t="shared" si="1"/>
        <v>35</v>
      </c>
      <c r="F17" s="833">
        <f>'1461'!F17:G17</f>
        <v>1</v>
      </c>
      <c r="G17" s="833"/>
      <c r="H17" s="80">
        <f t="shared" si="2"/>
        <v>35</v>
      </c>
      <c r="I17" s="101">
        <f t="shared" si="3"/>
        <v>194196.94</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43.5</v>
      </c>
      <c r="D26" s="143">
        <v>0</v>
      </c>
      <c r="E26" s="116">
        <f t="shared" si="1"/>
        <v>87</v>
      </c>
      <c r="F26" s="833">
        <f>'1461'!F26:G26</f>
        <v>1.1919999999999999</v>
      </c>
      <c r="G26" s="833"/>
      <c r="H26" s="80">
        <f t="shared" si="2"/>
        <v>103.70399999999999</v>
      </c>
      <c r="I26" s="101">
        <f t="shared" si="3"/>
        <v>575399.98</v>
      </c>
      <c r="N26" s="834" t="s">
        <v>85</v>
      </c>
      <c r="O26" s="834"/>
      <c r="P26" s="831">
        <f t="shared" si="0"/>
        <v>0</v>
      </c>
      <c r="Q26" s="831"/>
      <c r="R26" s="835">
        <v>1</v>
      </c>
      <c r="S26" s="835"/>
      <c r="T26" s="95">
        <f t="shared" si="4"/>
        <v>0</v>
      </c>
      <c r="U26" s="524">
        <f t="shared" si="5"/>
        <v>0</v>
      </c>
    </row>
    <row r="27" spans="1:21" x14ac:dyDescent="0.25">
      <c r="A27" s="788" t="s">
        <v>86</v>
      </c>
      <c r="B27" s="788"/>
      <c r="C27" s="143">
        <v>11.81</v>
      </c>
      <c r="D27" s="143">
        <v>0</v>
      </c>
      <c r="E27" s="116">
        <f t="shared" si="1"/>
        <v>23.62</v>
      </c>
      <c r="F27" s="833">
        <f>'1461'!F27:G27</f>
        <v>1.1919999999999999</v>
      </c>
      <c r="G27" s="833"/>
      <c r="H27" s="80">
        <f t="shared" si="2"/>
        <v>28.155000000000001</v>
      </c>
      <c r="I27" s="101">
        <f t="shared" si="3"/>
        <v>156217.57</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257.51</v>
      </c>
      <c r="D30" s="94">
        <f>SUM(D14:D29)</f>
        <v>0</v>
      </c>
      <c r="E30" s="94">
        <f>SUM(E14:E29)</f>
        <v>515.02</v>
      </c>
      <c r="F30" s="792"/>
      <c r="G30" s="792"/>
      <c r="H30" s="99">
        <f>SUM(H14:H29)</f>
        <v>555.84699999999998</v>
      </c>
      <c r="I30" s="94">
        <f>SUM(I14:I29)</f>
        <v>3084108.1699999995</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555.84699999999998</v>
      </c>
      <c r="F46" s="34"/>
      <c r="G46" s="106"/>
      <c r="H46" s="107" t="s">
        <v>98</v>
      </c>
      <c r="I46" s="94">
        <f>SUM(I44,I30)</f>
        <v>3084108.1699999995</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3133058.57</v>
      </c>
      <c r="G51" s="109" t="s">
        <v>6</v>
      </c>
      <c r="H51" s="453">
        <v>5.5899999999999998E-2</v>
      </c>
      <c r="I51" s="101">
        <f>ROUND(F51*H51,2)</f>
        <v>175137.97</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3133058.57</v>
      </c>
      <c r="G52" s="109" t="s">
        <v>6</v>
      </c>
      <c r="H52" s="453">
        <v>1.0699999999999999E-2</v>
      </c>
      <c r="I52" s="101">
        <f>ROUND(F52*H52,2)</f>
        <v>33523.730000000003</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208661.7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7.5</v>
      </c>
      <c r="D57" s="143">
        <v>0</v>
      </c>
      <c r="E57" s="116">
        <f t="shared" ref="E57:E65" si="10">IF(D$66=0,C57*2,C57+D57)</f>
        <v>15</v>
      </c>
      <c r="F57" s="494" t="s">
        <v>498</v>
      </c>
      <c r="G57" s="494">
        <v>251</v>
      </c>
      <c r="H57" s="508">
        <f>'1461'!H57</f>
        <v>1047</v>
      </c>
      <c r="I57" s="101">
        <f>ROUND(E57*H57,2)</f>
        <v>15705</v>
      </c>
      <c r="N57" s="848" t="s">
        <v>506</v>
      </c>
      <c r="O57" s="848"/>
      <c r="P57" s="850"/>
      <c r="Q57" s="850"/>
      <c r="R57" s="500" t="s">
        <v>498</v>
      </c>
      <c r="S57" s="500">
        <v>251</v>
      </c>
      <c r="T57" s="511">
        <f>H57</f>
        <v>1047</v>
      </c>
      <c r="U57" s="525">
        <f>ROUND(P57*T57,2)</f>
        <v>0</v>
      </c>
      <c r="V57" s="475"/>
    </row>
    <row r="58" spans="1:22" x14ac:dyDescent="0.25">
      <c r="A58" s="799"/>
      <c r="B58" s="799"/>
      <c r="C58" s="143">
        <v>0.5</v>
      </c>
      <c r="D58" s="143">
        <v>0</v>
      </c>
      <c r="E58" s="116">
        <f t="shared" si="10"/>
        <v>1</v>
      </c>
      <c r="F58" s="494" t="s">
        <v>498</v>
      </c>
      <c r="G58" s="494">
        <v>252</v>
      </c>
      <c r="H58" s="508">
        <f>'1461'!H58</f>
        <v>3380</v>
      </c>
      <c r="I58" s="101">
        <f t="shared" ref="I58:I65" si="11">ROUND(E58*H58,2)</f>
        <v>3380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16.5</v>
      </c>
      <c r="D60" s="143">
        <v>0</v>
      </c>
      <c r="E60" s="116">
        <f t="shared" si="10"/>
        <v>33</v>
      </c>
      <c r="F60" s="495" t="s">
        <v>13</v>
      </c>
      <c r="G60" s="494">
        <v>251</v>
      </c>
      <c r="H60" s="508">
        <f>'1461'!H60</f>
        <v>1173</v>
      </c>
      <c r="I60" s="101">
        <f t="shared" si="11"/>
        <v>38709</v>
      </c>
      <c r="N60" s="849"/>
      <c r="O60" s="849"/>
      <c r="P60" s="851"/>
      <c r="Q60" s="851"/>
      <c r="R60" s="40" t="s">
        <v>13</v>
      </c>
      <c r="S60" s="500">
        <v>251</v>
      </c>
      <c r="T60" s="511">
        <f t="shared" si="12"/>
        <v>1173</v>
      </c>
      <c r="U60" s="525">
        <f t="shared" si="13"/>
        <v>0</v>
      </c>
      <c r="V60" s="475"/>
    </row>
    <row r="61" spans="1:22" x14ac:dyDescent="0.25">
      <c r="A61" s="799"/>
      <c r="B61" s="799"/>
      <c r="C61" s="143">
        <v>1</v>
      </c>
      <c r="D61" s="143">
        <v>0</v>
      </c>
      <c r="E61" s="116">
        <f t="shared" si="10"/>
        <v>2</v>
      </c>
      <c r="F61" s="495" t="s">
        <v>13</v>
      </c>
      <c r="G61" s="494">
        <v>252</v>
      </c>
      <c r="H61" s="508">
        <f>'1461'!H61</f>
        <v>3506</v>
      </c>
      <c r="I61" s="101">
        <f t="shared" si="11"/>
        <v>7012</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25.5</v>
      </c>
      <c r="D66" s="97">
        <f>SUM(D57:D65)</f>
        <v>0</v>
      </c>
      <c r="E66" s="97">
        <f>SUM(E57:E65)</f>
        <v>51</v>
      </c>
      <c r="F66" s="800" t="s">
        <v>507</v>
      </c>
      <c r="G66" s="800"/>
      <c r="H66" s="800"/>
      <c r="I66" s="97">
        <f>SUM(I57:I65)</f>
        <v>64806</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515.02</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2.4420000000000002E-3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555.84699999999998</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2.3389999999999999E-3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515.02</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2.7569999999999999E-3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515.02</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2.4450000000000001E-3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515.02</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2.761E-3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2.4450000000000001E-3</v>
      </c>
      <c r="I85" s="101">
        <f>ROUND(F85*H85,2)</f>
        <v>113207.7</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2.4420000000000002E-3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2.761E-3</v>
      </c>
      <c r="I90" s="101">
        <f>ROUND(F90*H90,2)</f>
        <v>52806.58</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2.7569999999999999E-3</v>
      </c>
      <c r="I92" s="101">
        <f t="shared" ref="I92:I96" si="14">ROUND(F92*H92,2)</f>
        <v>31736.83</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2.3389999999999999E-3</v>
      </c>
      <c r="I94" s="101">
        <f t="shared" si="14"/>
        <v>598215.18999999994</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2.3389999999999999E-3</v>
      </c>
      <c r="I96" s="101">
        <f t="shared" si="14"/>
        <v>-36123.64</v>
      </c>
      <c r="N96" s="853" t="s">
        <v>483</v>
      </c>
      <c r="O96" s="834"/>
      <c r="P96" s="834"/>
      <c r="Q96" s="44"/>
      <c r="R96" s="470">
        <f t="shared" si="15"/>
        <v>-15444055</v>
      </c>
      <c r="S96" s="38" t="s">
        <v>6</v>
      </c>
      <c r="T96" s="472">
        <f>T73</f>
        <v>0</v>
      </c>
      <c r="U96" s="524">
        <f>ROUND(R96*T96,2)</f>
        <v>0</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2.4420000000000002E-3</v>
      </c>
      <c r="I98" s="101">
        <f t="shared" ref="I98" si="16">ROUND(F98*H98,2)</f>
        <v>13727.52</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289.29199999999997</v>
      </c>
      <c r="D104" s="806"/>
      <c r="E104" s="46">
        <f>H8</f>
        <v>1.0407999999999999</v>
      </c>
      <c r="F104" s="302">
        <f>'1461'!F104</f>
        <v>950.92</v>
      </c>
      <c r="G104" s="39" t="s">
        <v>12</v>
      </c>
      <c r="H104" s="101">
        <f>ROUND(C104*E104*F104,2)</f>
        <v>286317.37</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266.55500000000001</v>
      </c>
      <c r="D105" s="806"/>
      <c r="E105" s="46">
        <f>H8</f>
        <v>1.0407999999999999</v>
      </c>
      <c r="F105" s="302">
        <f>'1461'!F105</f>
        <v>907.92</v>
      </c>
      <c r="G105" s="39" t="s">
        <v>12</v>
      </c>
      <c r="H105" s="101">
        <f>ROUND(C105*E105*F105,2)</f>
        <v>251884.65</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555.84699999999998</v>
      </c>
      <c r="D107" s="796"/>
      <c r="E107" s="123"/>
      <c r="F107" s="123"/>
      <c r="G107" s="123"/>
      <c r="H107" s="124" t="s">
        <v>100</v>
      </c>
      <c r="I107" s="101">
        <f>IF(A1=75,0,H106+H105+H104)</f>
        <v>538202.02</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17</v>
      </c>
      <c r="D113" s="143">
        <v>0</v>
      </c>
      <c r="E113" s="116">
        <f>C113</f>
        <v>17</v>
      </c>
      <c r="F113" s="126" t="s">
        <v>30</v>
      </c>
      <c r="G113" s="303">
        <f>'1461'!G113</f>
        <v>607</v>
      </c>
      <c r="I113" s="101">
        <f>ROUND(G113*E113,2)</f>
        <v>10319</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4471005.3699999992</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4262343.669999999</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4262343.669999999</v>
      </c>
      <c r="I135" s="94">
        <f>ROUND(IF(E30=0,0,IF(E30&gt;250,-(((250/E30)*H135)*IF(G135="H",0.02,0.05)),IF(G135="H",-0.02*H135,-0.05*H135))),2)</f>
        <v>-103450.93</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4367554.4399999995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Payments'!Q86</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4367554.4399999995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363962.87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109666.25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119</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61.03</v>
      </c>
      <c r="D16" s="143">
        <v>0</v>
      </c>
      <c r="E16" s="116">
        <f t="shared" si="1"/>
        <v>122.06</v>
      </c>
      <c r="F16" s="833">
        <f>'1461'!F16:G16</f>
        <v>1</v>
      </c>
      <c r="G16" s="833"/>
      <c r="H16" s="80">
        <f t="shared" si="2"/>
        <v>122.06</v>
      </c>
      <c r="I16" s="101">
        <f t="shared" si="3"/>
        <v>677247.96</v>
      </c>
      <c r="N16" s="834" t="s">
        <v>22</v>
      </c>
      <c r="O16" s="834"/>
      <c r="P16" s="831">
        <f t="shared" si="0"/>
        <v>0</v>
      </c>
      <c r="Q16" s="831"/>
      <c r="R16" s="835">
        <v>1</v>
      </c>
      <c r="S16" s="835"/>
      <c r="T16" s="95">
        <f t="shared" si="4"/>
        <v>0</v>
      </c>
      <c r="U16" s="524">
        <f t="shared" si="5"/>
        <v>0</v>
      </c>
    </row>
    <row r="17" spans="1:21" x14ac:dyDescent="0.25">
      <c r="A17" s="788" t="s">
        <v>23</v>
      </c>
      <c r="B17" s="788"/>
      <c r="C17" s="143">
        <v>8</v>
      </c>
      <c r="D17" s="143">
        <v>0</v>
      </c>
      <c r="E17" s="116">
        <f t="shared" si="1"/>
        <v>16</v>
      </c>
      <c r="F17" s="833">
        <f>'1461'!F17:G17</f>
        <v>1</v>
      </c>
      <c r="G17" s="833"/>
      <c r="H17" s="80">
        <f t="shared" si="2"/>
        <v>16</v>
      </c>
      <c r="I17" s="101">
        <f t="shared" si="3"/>
        <v>88775.74</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210.2</v>
      </c>
      <c r="D18" s="143">
        <v>0</v>
      </c>
      <c r="E18" s="116">
        <f t="shared" si="1"/>
        <v>420.4</v>
      </c>
      <c r="F18" s="833">
        <f>'1461'!F18:G18</f>
        <v>0.97799999999999998</v>
      </c>
      <c r="G18" s="833"/>
      <c r="H18" s="80">
        <f t="shared" si="2"/>
        <v>411.15120000000002</v>
      </c>
      <c r="I18" s="101">
        <f t="shared" si="3"/>
        <v>2281265.85</v>
      </c>
      <c r="N18" s="834" t="s">
        <v>24</v>
      </c>
      <c r="O18" s="834"/>
      <c r="P18" s="831">
        <f t="shared" si="0"/>
        <v>0</v>
      </c>
      <c r="Q18" s="831"/>
      <c r="R18" s="835">
        <v>1</v>
      </c>
      <c r="S18" s="835"/>
      <c r="T18" s="95">
        <f t="shared" si="4"/>
        <v>0</v>
      </c>
      <c r="U18" s="524">
        <f t="shared" si="5"/>
        <v>0</v>
      </c>
    </row>
    <row r="19" spans="1:21" x14ac:dyDescent="0.25">
      <c r="A19" s="788" t="s">
        <v>25</v>
      </c>
      <c r="B19" s="788"/>
      <c r="C19" s="143">
        <v>37.5</v>
      </c>
      <c r="D19" s="143">
        <v>0</v>
      </c>
      <c r="E19" s="116">
        <f t="shared" si="1"/>
        <v>75</v>
      </c>
      <c r="F19" s="833">
        <f>'1461'!F19:G19</f>
        <v>0.97799999999999998</v>
      </c>
      <c r="G19" s="833"/>
      <c r="H19" s="80">
        <f t="shared" si="2"/>
        <v>73.349999999999994</v>
      </c>
      <c r="I19" s="101">
        <f t="shared" si="3"/>
        <v>406981.3</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4.79</v>
      </c>
      <c r="D27" s="143">
        <v>0</v>
      </c>
      <c r="E27" s="116">
        <f t="shared" si="1"/>
        <v>9.58</v>
      </c>
      <c r="F27" s="833">
        <f>'1461'!F27:G27</f>
        <v>1.1919999999999999</v>
      </c>
      <c r="G27" s="833"/>
      <c r="H27" s="80">
        <f t="shared" si="2"/>
        <v>11.4194</v>
      </c>
      <c r="I27" s="101">
        <f t="shared" si="3"/>
        <v>63360.36</v>
      </c>
      <c r="N27" s="834" t="s">
        <v>86</v>
      </c>
      <c r="O27" s="834"/>
      <c r="P27" s="831">
        <f t="shared" si="0"/>
        <v>0</v>
      </c>
      <c r="Q27" s="831"/>
      <c r="R27" s="835">
        <v>1</v>
      </c>
      <c r="S27" s="835"/>
      <c r="T27" s="95">
        <f t="shared" si="4"/>
        <v>0</v>
      </c>
      <c r="U27" s="524">
        <f t="shared" si="5"/>
        <v>0</v>
      </c>
    </row>
    <row r="28" spans="1:21" x14ac:dyDescent="0.25">
      <c r="A28" s="788" t="s">
        <v>87</v>
      </c>
      <c r="B28" s="788"/>
      <c r="C28" s="143">
        <v>9.27</v>
      </c>
      <c r="D28" s="143">
        <v>0</v>
      </c>
      <c r="E28" s="116">
        <f t="shared" si="1"/>
        <v>18.54</v>
      </c>
      <c r="F28" s="833">
        <f>'1461'!F28:G28</f>
        <v>1.1919999999999999</v>
      </c>
      <c r="G28" s="833"/>
      <c r="H28" s="80">
        <f t="shared" si="2"/>
        <v>22.099699999999999</v>
      </c>
      <c r="I28" s="101">
        <f t="shared" si="3"/>
        <v>122619.83</v>
      </c>
      <c r="N28" s="834" t="s">
        <v>87</v>
      </c>
      <c r="O28" s="834"/>
      <c r="P28" s="831">
        <f t="shared" si="0"/>
        <v>0</v>
      </c>
      <c r="Q28" s="831"/>
      <c r="R28" s="835">
        <v>1</v>
      </c>
      <c r="S28" s="835"/>
      <c r="T28" s="95">
        <f t="shared" si="4"/>
        <v>0</v>
      </c>
      <c r="U28" s="524">
        <f t="shared" si="5"/>
        <v>0</v>
      </c>
    </row>
    <row r="29" spans="1:21" x14ac:dyDescent="0.25">
      <c r="A29" s="788" t="s">
        <v>88</v>
      </c>
      <c r="B29" s="788"/>
      <c r="C29" s="110">
        <v>22.65</v>
      </c>
      <c r="D29" s="110">
        <v>0</v>
      </c>
      <c r="E29" s="116">
        <f t="shared" si="1"/>
        <v>45.3</v>
      </c>
      <c r="F29" s="833">
        <f>'1461'!F29:G29</f>
        <v>1.079</v>
      </c>
      <c r="G29" s="833"/>
      <c r="H29" s="93">
        <f t="shared" si="2"/>
        <v>48.878700000000002</v>
      </c>
      <c r="I29" s="94">
        <f t="shared" si="3"/>
        <v>271202.68</v>
      </c>
      <c r="N29" s="836" t="s">
        <v>88</v>
      </c>
      <c r="O29" s="836"/>
      <c r="P29" s="831">
        <f t="shared" si="0"/>
        <v>0</v>
      </c>
      <c r="Q29" s="831"/>
      <c r="R29" s="837">
        <v>1</v>
      </c>
      <c r="S29" s="837"/>
      <c r="T29" s="95">
        <f t="shared" si="4"/>
        <v>0</v>
      </c>
      <c r="U29" s="524">
        <f t="shared" si="5"/>
        <v>0</v>
      </c>
    </row>
    <row r="30" spans="1:21" x14ac:dyDescent="0.25">
      <c r="A30" s="800" t="s">
        <v>5</v>
      </c>
      <c r="B30" s="800"/>
      <c r="C30" s="94">
        <f>SUM(C14:C29)</f>
        <v>353.44</v>
      </c>
      <c r="D30" s="94">
        <f>SUM(D14:D29)</f>
        <v>0</v>
      </c>
      <c r="E30" s="97">
        <f>SUM(E14:E29)</f>
        <v>706.88</v>
      </c>
      <c r="F30" s="792"/>
      <c r="G30" s="792"/>
      <c r="H30" s="99">
        <f>SUM(H14:H29)</f>
        <v>704.95899999999995</v>
      </c>
      <c r="I30" s="94">
        <f>SUM(I14:I29)</f>
        <v>3911453.7199999997</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704.95899999999995</v>
      </c>
      <c r="F46" s="34"/>
      <c r="G46" s="106"/>
      <c r="H46" s="107" t="s">
        <v>98</v>
      </c>
      <c r="I46" s="94">
        <f>SUM(I44,I30)</f>
        <v>3911453.7199999997</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3716552.68</v>
      </c>
      <c r="G51" s="109" t="s">
        <v>6</v>
      </c>
      <c r="H51" s="453">
        <v>5.5899999999999998E-2</v>
      </c>
      <c r="I51" s="101">
        <f>ROUND(F51*H51,2)</f>
        <v>207755.29</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3716552.68</v>
      </c>
      <c r="G52" s="109" t="s">
        <v>6</v>
      </c>
      <c r="H52" s="453">
        <v>1.0699999999999999E-2</v>
      </c>
      <c r="I52" s="101">
        <f>ROUND(F52*H52,2)</f>
        <v>39767.11</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247522.40000000002</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7.5</v>
      </c>
      <c r="D60" s="143">
        <v>0</v>
      </c>
      <c r="E60" s="116">
        <f t="shared" si="10"/>
        <v>15</v>
      </c>
      <c r="F60" s="495" t="s">
        <v>13</v>
      </c>
      <c r="G60" s="494">
        <v>251</v>
      </c>
      <c r="H60" s="508">
        <f>'1461'!H60</f>
        <v>1173</v>
      </c>
      <c r="I60" s="101">
        <f t="shared" si="11"/>
        <v>17595</v>
      </c>
      <c r="N60" s="849"/>
      <c r="O60" s="849"/>
      <c r="P60" s="851"/>
      <c r="Q60" s="851"/>
      <c r="R60" s="40" t="s">
        <v>13</v>
      </c>
      <c r="S60" s="500">
        <v>251</v>
      </c>
      <c r="T60" s="511">
        <f t="shared" si="12"/>
        <v>1173</v>
      </c>
      <c r="U60" s="525">
        <f t="shared" si="13"/>
        <v>0</v>
      </c>
      <c r="V60" s="475"/>
    </row>
    <row r="61" spans="1:22" x14ac:dyDescent="0.25">
      <c r="A61" s="799"/>
      <c r="B61" s="799"/>
      <c r="C61" s="143">
        <v>0.5</v>
      </c>
      <c r="D61" s="143">
        <v>0</v>
      </c>
      <c r="E61" s="116">
        <f t="shared" si="10"/>
        <v>1</v>
      </c>
      <c r="F61" s="495" t="s">
        <v>13</v>
      </c>
      <c r="G61" s="494">
        <v>252</v>
      </c>
      <c r="H61" s="508">
        <f>'1461'!H61</f>
        <v>3506</v>
      </c>
      <c r="I61" s="101">
        <f t="shared" si="11"/>
        <v>3506</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36.5</v>
      </c>
      <c r="D63" s="143">
        <v>0</v>
      </c>
      <c r="E63" s="116">
        <f t="shared" si="10"/>
        <v>73</v>
      </c>
      <c r="F63" s="495" t="s">
        <v>14</v>
      </c>
      <c r="G63" s="494">
        <v>251</v>
      </c>
      <c r="H63" s="508">
        <f>'1461'!H63</f>
        <v>835</v>
      </c>
      <c r="I63" s="101">
        <f t="shared" si="11"/>
        <v>60955</v>
      </c>
      <c r="N63" s="849"/>
      <c r="O63" s="849"/>
      <c r="P63" s="851"/>
      <c r="Q63" s="851"/>
      <c r="R63" s="40" t="s">
        <v>14</v>
      </c>
      <c r="S63" s="500">
        <v>251</v>
      </c>
      <c r="T63" s="511">
        <f t="shared" si="12"/>
        <v>835</v>
      </c>
      <c r="U63" s="525">
        <f t="shared" si="13"/>
        <v>0</v>
      </c>
      <c r="V63" s="475"/>
    </row>
    <row r="64" spans="1:22" x14ac:dyDescent="0.25">
      <c r="A64" s="799"/>
      <c r="B64" s="799"/>
      <c r="C64" s="143">
        <v>1</v>
      </c>
      <c r="D64" s="143">
        <v>0</v>
      </c>
      <c r="E64" s="116">
        <f t="shared" si="10"/>
        <v>2</v>
      </c>
      <c r="F64" s="495" t="s">
        <v>14</v>
      </c>
      <c r="G64" s="494">
        <v>252</v>
      </c>
      <c r="H64" s="508">
        <f>'1461'!H64</f>
        <v>3168</v>
      </c>
      <c r="I64" s="101">
        <f t="shared" si="11"/>
        <v>6336</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45.5</v>
      </c>
      <c r="D66" s="97">
        <f>SUM(D57:D65)</f>
        <v>0</v>
      </c>
      <c r="E66" s="97">
        <f>SUM(E57:E65)</f>
        <v>91</v>
      </c>
      <c r="F66" s="800" t="s">
        <v>507</v>
      </c>
      <c r="G66" s="800"/>
      <c r="H66" s="800"/>
      <c r="I66" s="97">
        <f>SUM(I57:I65)</f>
        <v>88392</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706.88</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3.3509999999999998E-3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704.95899999999995</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2.967E-3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706.88</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3.784E-3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706.88</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3.356E-3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706.88</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3.79E-3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3.356E-3</v>
      </c>
      <c r="I85" s="101">
        <f>ROUND(F85*H85,2)</f>
        <v>155388.56</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3.3509999999999998E-3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3.79E-3</v>
      </c>
      <c r="I90" s="101">
        <f>ROUND(F90*H90,2)</f>
        <v>72487.12</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3.784E-3</v>
      </c>
      <c r="I92" s="101">
        <f t="shared" ref="I92:I96" si="14">ROUND(F92*H92,2)</f>
        <v>43559</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2.967E-3</v>
      </c>
      <c r="I94" s="101">
        <f t="shared" si="14"/>
        <v>758830.47</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2.967E-3</v>
      </c>
      <c r="I96" s="101">
        <f t="shared" si="14"/>
        <v>-45822.51</v>
      </c>
      <c r="N96" s="853" t="s">
        <v>483</v>
      </c>
      <c r="O96" s="834"/>
      <c r="P96" s="834"/>
      <c r="Q96" s="44"/>
      <c r="R96" s="470">
        <f t="shared" si="15"/>
        <v>-15444055</v>
      </c>
      <c r="S96" s="38" t="s">
        <v>6</v>
      </c>
      <c r="T96" s="472">
        <f>T73</f>
        <v>0</v>
      </c>
      <c r="U96" s="524">
        <f>ROUND(R96*T96,2)</f>
        <v>0</v>
      </c>
    </row>
    <row r="97" spans="1:21" x14ac:dyDescent="0.25">
      <c r="A97" s="584"/>
      <c r="B97" s="583"/>
      <c r="C97" s="583"/>
      <c r="D97" s="583"/>
      <c r="E97" s="581"/>
      <c r="F97" s="117"/>
      <c r="G97" s="582"/>
      <c r="H97" s="473"/>
      <c r="I97" s="101"/>
      <c r="N97" s="587"/>
      <c r="O97" s="586"/>
      <c r="P97" s="586"/>
      <c r="Q97" s="44"/>
      <c r="R97" s="589"/>
      <c r="S97" s="588"/>
      <c r="T97" s="472"/>
      <c r="U97" s="528"/>
    </row>
    <row r="98" spans="1:21" x14ac:dyDescent="0.25">
      <c r="A98" s="584" t="s">
        <v>556</v>
      </c>
      <c r="B98" s="583"/>
      <c r="C98" s="583"/>
      <c r="D98" s="583"/>
      <c r="E98" s="581" t="s">
        <v>3</v>
      </c>
      <c r="F98" s="301">
        <f>'1461'!F98</f>
        <v>5621424</v>
      </c>
      <c r="G98" s="582" t="s">
        <v>6</v>
      </c>
      <c r="H98" s="473">
        <f>H70</f>
        <v>3.3509999999999998E-3</v>
      </c>
      <c r="I98" s="101">
        <f t="shared" ref="I98" si="16">ROUND(F98*H98,2)</f>
        <v>18837.39</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484</v>
      </c>
      <c r="N101" s="459" t="s">
        <v>484</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149.4794</v>
      </c>
      <c r="D105" s="806"/>
      <c r="E105" s="46">
        <f>H8</f>
        <v>1.0407999999999999</v>
      </c>
      <c r="F105" s="302">
        <f>'1461'!F105</f>
        <v>907.92</v>
      </c>
      <c r="G105" s="39" t="s">
        <v>12</v>
      </c>
      <c r="H105" s="101">
        <f>ROUND(C105*E105*F105,2)</f>
        <v>141252.51999999999</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555.4796</v>
      </c>
      <c r="D106" s="806"/>
      <c r="E106" s="46">
        <f>H8</f>
        <v>1.0407999999999999</v>
      </c>
      <c r="F106" s="302">
        <f>'1461'!F106</f>
        <v>910.12</v>
      </c>
      <c r="G106" s="39" t="s">
        <v>12</v>
      </c>
      <c r="H106" s="94">
        <f>ROUND(C106*E106*F106,2)</f>
        <v>526179.66</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704.95900000000006</v>
      </c>
      <c r="D107" s="796"/>
      <c r="E107" s="123"/>
      <c r="F107" s="123"/>
      <c r="G107" s="123"/>
      <c r="H107" s="124" t="s">
        <v>100</v>
      </c>
      <c r="I107" s="101">
        <f>IF(A1=75,0,H106+H105+H104)</f>
        <v>667432.18000000005</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81" t="s">
        <v>489</v>
      </c>
      <c r="C110" s="43"/>
      <c r="D110" s="69"/>
      <c r="E110" s="43" t="s">
        <v>32</v>
      </c>
      <c r="F110" s="766"/>
      <c r="G110" s="766"/>
      <c r="H110" s="766"/>
      <c r="I110" s="766"/>
      <c r="N110" s="853" t="s">
        <v>489</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239</v>
      </c>
      <c r="D113" s="143">
        <v>0</v>
      </c>
      <c r="E113" s="116">
        <f>C113</f>
        <v>239</v>
      </c>
      <c r="F113" s="126" t="s">
        <v>30</v>
      </c>
      <c r="G113" s="303">
        <f>'1461'!G113</f>
        <v>607</v>
      </c>
      <c r="I113" s="101">
        <f>ROUND(G113*E113,2)</f>
        <v>145073</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564</v>
      </c>
      <c r="B126" s="788"/>
      <c r="C126" s="788"/>
      <c r="D126" s="69"/>
      <c r="E126" s="68" t="s">
        <v>34</v>
      </c>
      <c r="F126" s="807"/>
      <c r="G126" s="807"/>
      <c r="H126" s="807"/>
      <c r="I126" s="154">
        <v>0</v>
      </c>
      <c r="N126" s="853" t="s">
        <v>564</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5815630.9299999988</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5568108.5299999984</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5568108.5299999984</v>
      </c>
      <c r="I135" s="94">
        <f>ROUND(IF(E30=0,0,IF(E30&gt;250,-(((250/E30)*H135)*IF(G135="H",0.02,0.05)),IF(G135="H",-0.02*H135,-0.05*H135))),2)</f>
        <v>-39385.1</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5776245.8299999991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Payments'!Q87</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5776245.8299999991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481353.82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71977.070000000007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120</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8</v>
      </c>
      <c r="D16" s="143">
        <v>0</v>
      </c>
      <c r="E16" s="116">
        <f t="shared" si="1"/>
        <v>16</v>
      </c>
      <c r="F16" s="833">
        <f>'1461'!F16:G16</f>
        <v>1</v>
      </c>
      <c r="G16" s="833"/>
      <c r="H16" s="80">
        <f t="shared" si="2"/>
        <v>16</v>
      </c>
      <c r="I16" s="101">
        <f t="shared" si="3"/>
        <v>88775.74</v>
      </c>
      <c r="N16" s="834" t="s">
        <v>22</v>
      </c>
      <c r="O16" s="834"/>
      <c r="P16" s="831">
        <f t="shared" si="0"/>
        <v>0</v>
      </c>
      <c r="Q16" s="831"/>
      <c r="R16" s="835">
        <v>1</v>
      </c>
      <c r="S16" s="835"/>
      <c r="T16" s="95">
        <f t="shared" si="4"/>
        <v>0</v>
      </c>
      <c r="U16" s="524">
        <f t="shared" si="5"/>
        <v>0</v>
      </c>
    </row>
    <row r="17" spans="1:21" x14ac:dyDescent="0.25">
      <c r="A17" s="788" t="s">
        <v>23</v>
      </c>
      <c r="B17" s="788"/>
      <c r="C17" s="143">
        <v>1</v>
      </c>
      <c r="D17" s="143">
        <v>0</v>
      </c>
      <c r="E17" s="116">
        <f t="shared" si="1"/>
        <v>2</v>
      </c>
      <c r="F17" s="833">
        <f>'1461'!F17:G17</f>
        <v>1</v>
      </c>
      <c r="G17" s="833"/>
      <c r="H17" s="80">
        <f t="shared" si="2"/>
        <v>2</v>
      </c>
      <c r="I17" s="101">
        <f t="shared" si="3"/>
        <v>11096.97</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36.11</v>
      </c>
      <c r="D18" s="143">
        <v>0</v>
      </c>
      <c r="E18" s="116">
        <f t="shared" si="1"/>
        <v>72.22</v>
      </c>
      <c r="F18" s="833">
        <f>'1461'!F18:G18</f>
        <v>0.97799999999999998</v>
      </c>
      <c r="G18" s="833"/>
      <c r="H18" s="80">
        <f t="shared" si="2"/>
        <v>70.631200000000007</v>
      </c>
      <c r="I18" s="101">
        <f t="shared" si="3"/>
        <v>391896.08</v>
      </c>
      <c r="N18" s="834" t="s">
        <v>24</v>
      </c>
      <c r="O18" s="834"/>
      <c r="P18" s="831">
        <f t="shared" si="0"/>
        <v>0</v>
      </c>
      <c r="Q18" s="831"/>
      <c r="R18" s="835">
        <v>1</v>
      </c>
      <c r="S18" s="835"/>
      <c r="T18" s="95">
        <f t="shared" si="4"/>
        <v>0</v>
      </c>
      <c r="U18" s="524">
        <f t="shared" si="5"/>
        <v>0</v>
      </c>
    </row>
    <row r="19" spans="1:21" x14ac:dyDescent="0.25">
      <c r="A19" s="788" t="s">
        <v>25</v>
      </c>
      <c r="B19" s="788"/>
      <c r="C19" s="143">
        <v>9.68</v>
      </c>
      <c r="D19" s="143">
        <v>0</v>
      </c>
      <c r="E19" s="116">
        <f t="shared" si="1"/>
        <v>19.36</v>
      </c>
      <c r="F19" s="833">
        <f>'1461'!F19:G19</f>
        <v>0.97799999999999998</v>
      </c>
      <c r="G19" s="833"/>
      <c r="H19" s="80">
        <f t="shared" si="2"/>
        <v>18.934100000000001</v>
      </c>
      <c r="I19" s="101">
        <f t="shared" si="3"/>
        <v>105055.55</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0.83</v>
      </c>
      <c r="D28" s="143">
        <v>0</v>
      </c>
      <c r="E28" s="116">
        <f t="shared" si="1"/>
        <v>1.66</v>
      </c>
      <c r="F28" s="833">
        <f>'1461'!F28:G28</f>
        <v>1.1919999999999999</v>
      </c>
      <c r="G28" s="833"/>
      <c r="H28" s="80">
        <f t="shared" si="2"/>
        <v>1.9786999999999999</v>
      </c>
      <c r="I28" s="101">
        <f t="shared" si="3"/>
        <v>10978.79</v>
      </c>
      <c r="N28" s="834" t="s">
        <v>87</v>
      </c>
      <c r="O28" s="834"/>
      <c r="P28" s="831">
        <f t="shared" si="0"/>
        <v>0</v>
      </c>
      <c r="Q28" s="831"/>
      <c r="R28" s="835">
        <v>1</v>
      </c>
      <c r="S28" s="835"/>
      <c r="T28" s="95">
        <f t="shared" si="4"/>
        <v>0</v>
      </c>
      <c r="U28" s="524">
        <f t="shared" si="5"/>
        <v>0</v>
      </c>
    </row>
    <row r="29" spans="1:21" x14ac:dyDescent="0.25">
      <c r="A29" s="788" t="s">
        <v>88</v>
      </c>
      <c r="B29" s="788"/>
      <c r="C29" s="110">
        <v>0.97</v>
      </c>
      <c r="D29" s="110">
        <v>0</v>
      </c>
      <c r="E29" s="116">
        <f t="shared" si="1"/>
        <v>1.94</v>
      </c>
      <c r="F29" s="833">
        <f>'1461'!F29:G29</f>
        <v>1.079</v>
      </c>
      <c r="G29" s="833"/>
      <c r="H29" s="93">
        <f t="shared" si="2"/>
        <v>2.0933000000000002</v>
      </c>
      <c r="I29" s="94">
        <f t="shared" si="3"/>
        <v>11614.64</v>
      </c>
      <c r="N29" s="836" t="s">
        <v>88</v>
      </c>
      <c r="O29" s="836"/>
      <c r="P29" s="831">
        <f t="shared" si="0"/>
        <v>0</v>
      </c>
      <c r="Q29" s="831"/>
      <c r="R29" s="837">
        <v>1</v>
      </c>
      <c r="S29" s="837"/>
      <c r="T29" s="95">
        <f t="shared" si="4"/>
        <v>0</v>
      </c>
      <c r="U29" s="524">
        <f t="shared" si="5"/>
        <v>0</v>
      </c>
    </row>
    <row r="30" spans="1:21" x14ac:dyDescent="0.25">
      <c r="A30" s="800" t="s">
        <v>5</v>
      </c>
      <c r="B30" s="800"/>
      <c r="C30" s="94">
        <f>SUM(C14:C29)</f>
        <v>56.589999999999996</v>
      </c>
      <c r="D30" s="94">
        <f>SUM(D14:D29)</f>
        <v>0</v>
      </c>
      <c r="E30" s="97">
        <f>SUM(E14:E29)</f>
        <v>113.17999999999999</v>
      </c>
      <c r="F30" s="792"/>
      <c r="G30" s="792"/>
      <c r="H30" s="99">
        <f>SUM(H14:H29)</f>
        <v>111.63730000000001</v>
      </c>
      <c r="I30" s="94">
        <f>SUM(I14:I29)</f>
        <v>619417.77000000014</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111.63730000000001</v>
      </c>
      <c r="F46" s="34"/>
      <c r="G46" s="106"/>
      <c r="H46" s="107" t="s">
        <v>98</v>
      </c>
      <c r="I46" s="94">
        <f>SUM(I44,I30)</f>
        <v>619417.77000000014</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669861.27</v>
      </c>
      <c r="G51" s="109" t="s">
        <v>6</v>
      </c>
      <c r="H51" s="453">
        <v>5.5899999999999998E-2</v>
      </c>
      <c r="I51" s="101">
        <f>ROUND(F51*H51,2)</f>
        <v>37445.24</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669861.27</v>
      </c>
      <c r="G52" s="109" t="s">
        <v>6</v>
      </c>
      <c r="H52" s="453">
        <v>1.0699999999999999E-2</v>
      </c>
      <c r="I52" s="101">
        <f>ROUND(F52*H52,2)</f>
        <v>7167.52</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44612.759999999995</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1</v>
      </c>
      <c r="D60" s="143">
        <v>0</v>
      </c>
      <c r="E60" s="116">
        <f t="shared" si="10"/>
        <v>2</v>
      </c>
      <c r="F60" s="495" t="s">
        <v>13</v>
      </c>
      <c r="G60" s="494">
        <v>251</v>
      </c>
      <c r="H60" s="508">
        <f>'1461'!H60</f>
        <v>1173</v>
      </c>
      <c r="I60" s="101">
        <f t="shared" si="11"/>
        <v>2346</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9.18</v>
      </c>
      <c r="D63" s="143">
        <v>0</v>
      </c>
      <c r="E63" s="116">
        <f t="shared" si="10"/>
        <v>18.36</v>
      </c>
      <c r="F63" s="495" t="s">
        <v>14</v>
      </c>
      <c r="G63" s="494">
        <v>251</v>
      </c>
      <c r="H63" s="508">
        <f>'1461'!H63</f>
        <v>835</v>
      </c>
      <c r="I63" s="101">
        <f t="shared" si="11"/>
        <v>15330.6</v>
      </c>
      <c r="N63" s="849"/>
      <c r="O63" s="849"/>
      <c r="P63" s="851"/>
      <c r="Q63" s="851"/>
      <c r="R63" s="40" t="s">
        <v>14</v>
      </c>
      <c r="S63" s="500">
        <v>251</v>
      </c>
      <c r="T63" s="511">
        <f t="shared" si="12"/>
        <v>835</v>
      </c>
      <c r="U63" s="525">
        <f t="shared" si="13"/>
        <v>0</v>
      </c>
      <c r="V63" s="475"/>
    </row>
    <row r="64" spans="1:22" x14ac:dyDescent="0.25">
      <c r="A64" s="799"/>
      <c r="B64" s="799"/>
      <c r="C64" s="143">
        <v>0.5</v>
      </c>
      <c r="D64" s="143">
        <v>0</v>
      </c>
      <c r="E64" s="116">
        <f t="shared" si="10"/>
        <v>1</v>
      </c>
      <c r="F64" s="495" t="s">
        <v>14</v>
      </c>
      <c r="G64" s="494">
        <v>252</v>
      </c>
      <c r="H64" s="508">
        <f>'1461'!H64</f>
        <v>3168</v>
      </c>
      <c r="I64" s="101">
        <f t="shared" si="11"/>
        <v>3168</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10.68</v>
      </c>
      <c r="D66" s="97">
        <f>SUM(D57:D65)</f>
        <v>0</v>
      </c>
      <c r="E66" s="97">
        <f>SUM(E57:E65)</f>
        <v>21.36</v>
      </c>
      <c r="F66" s="800" t="s">
        <v>507</v>
      </c>
      <c r="G66" s="800"/>
      <c r="H66" s="800"/>
      <c r="I66" s="97">
        <f>SUM(I57:I65)</f>
        <v>20844.599999999999</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113.17999999999999</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5.3700000000000004E-4</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111.63730000000001</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4.6999999999999999E-4</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113.17999999999999</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6.0599999999999998E-4</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113.17999999999999</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5.3700000000000004E-4</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113.17999999999999</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6.0700000000000001E-4</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5.3700000000000004E-4</v>
      </c>
      <c r="I85" s="101">
        <f>ROUND(F85*H85,2)</f>
        <v>24864.02</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5.3700000000000004E-4</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6.0700000000000001E-4</v>
      </c>
      <c r="I90" s="101">
        <f>ROUND(F90*H90,2)</f>
        <v>11609.42</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6.0599999999999998E-4</v>
      </c>
      <c r="I92" s="101">
        <f t="shared" ref="I92:I96" si="14">ROUND(F92*H92,2)</f>
        <v>6975.89</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4.6999999999999999E-4</v>
      </c>
      <c r="I94" s="101">
        <f t="shared" si="14"/>
        <v>120205.7</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4.6999999999999999E-4</v>
      </c>
      <c r="I96" s="101">
        <f t="shared" si="14"/>
        <v>-7258.71</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5.3700000000000004E-4</v>
      </c>
      <c r="I98" s="101">
        <f t="shared" ref="I98" si="16">ROUND(F98*H98,2)</f>
        <v>3018.7</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18</v>
      </c>
      <c r="D105" s="806"/>
      <c r="E105" s="46">
        <f>H8</f>
        <v>1.0407999999999999</v>
      </c>
      <c r="F105" s="302">
        <f>'1461'!F105</f>
        <v>907.92</v>
      </c>
      <c r="G105" s="39" t="s">
        <v>12</v>
      </c>
      <c r="H105" s="101">
        <f>ROUND(C105*E105*F105,2)</f>
        <v>17009.34</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93.63730000000001</v>
      </c>
      <c r="D106" s="806"/>
      <c r="E106" s="46">
        <f>H8</f>
        <v>1.0407999999999999</v>
      </c>
      <c r="F106" s="302">
        <f>'1461'!F106</f>
        <v>910.12</v>
      </c>
      <c r="G106" s="39" t="s">
        <v>12</v>
      </c>
      <c r="H106" s="94">
        <f>ROUND(C106*E106*F106,2)</f>
        <v>88698.2</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111.63730000000001</v>
      </c>
      <c r="D107" s="796"/>
      <c r="E107" s="123"/>
      <c r="F107" s="123"/>
      <c r="G107" s="123"/>
      <c r="H107" s="124" t="s">
        <v>100</v>
      </c>
      <c r="I107" s="101">
        <f>IF(A1=75,0,H106+H105+H104)</f>
        <v>105707.54</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73</v>
      </c>
      <c r="D113" s="143">
        <v>0</v>
      </c>
      <c r="E113" s="116">
        <f>C113</f>
        <v>73</v>
      </c>
      <c r="F113" s="126" t="s">
        <v>30</v>
      </c>
      <c r="G113" s="303">
        <f>'1461'!G113</f>
        <v>607</v>
      </c>
      <c r="I113" s="101">
        <f>ROUND(G113*E113,2)</f>
        <v>44311</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949695.93000000017</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905083.17000000016</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905083.17000000016</v>
      </c>
      <c r="I135" s="94">
        <f>ROUND(IF(E30=0,0,IF(E30&gt;250,-(((250/E30)*H135)*IF(G135="H",0.02,0.05)),IF(G135="H",-0.02*H135,-0.05*H135))),2)</f>
        <v>-45254.16</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904441.77000000014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Payments'!Q88</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904441.77000000014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75370.149999999994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112</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2.5</v>
      </c>
      <c r="D17" s="143">
        <v>0</v>
      </c>
      <c r="E17" s="116">
        <f t="shared" si="1"/>
        <v>5</v>
      </c>
      <c r="F17" s="833">
        <f>'1461'!F17:G17</f>
        <v>1</v>
      </c>
      <c r="G17" s="833"/>
      <c r="H17" s="80">
        <f t="shared" si="2"/>
        <v>5</v>
      </c>
      <c r="I17" s="101">
        <f t="shared" si="3"/>
        <v>27742.42</v>
      </c>
      <c r="J17" s="65" t="str">
        <f>IF(ROUND(E17,2)=ROUND(SUM(E60:E62),2)," ","CHECK 4-8 LINES BELOW")</f>
        <v xml:space="preserve"> </v>
      </c>
      <c r="N17" s="834" t="s">
        <v>23</v>
      </c>
      <c r="O17" s="834"/>
      <c r="P17" s="831">
        <f t="shared" si="0"/>
        <v>5</v>
      </c>
      <c r="Q17" s="831"/>
      <c r="R17" s="835">
        <v>1</v>
      </c>
      <c r="S17" s="835"/>
      <c r="T17" s="95">
        <f t="shared" si="4"/>
        <v>5</v>
      </c>
      <c r="U17" s="524">
        <f t="shared" si="5"/>
        <v>27742.42</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45.43</v>
      </c>
      <c r="D19" s="143">
        <v>0</v>
      </c>
      <c r="E19" s="116">
        <f t="shared" si="1"/>
        <v>90.86</v>
      </c>
      <c r="F19" s="833">
        <f>'1461'!F19:G19</f>
        <v>0.97799999999999998</v>
      </c>
      <c r="G19" s="833"/>
      <c r="H19" s="80">
        <f t="shared" si="2"/>
        <v>88.861099999999993</v>
      </c>
      <c r="I19" s="101">
        <f>ROUND(ROUND(ROUND(H19*$C$8,4)*($H$8),2)*(MAX($H$9,1)),2)</f>
        <v>493044.39</v>
      </c>
      <c r="J19" s="65" t="str">
        <f>IF(ROUND(E19,2)=ROUND(SUM(E63:E65),2)," ","CHECK 4-8 LINES BELOW")</f>
        <v xml:space="preserve"> </v>
      </c>
      <c r="N19" s="834" t="s">
        <v>25</v>
      </c>
      <c r="O19" s="834"/>
      <c r="P19" s="831">
        <f t="shared" si="0"/>
        <v>90.86</v>
      </c>
      <c r="Q19" s="831"/>
      <c r="R19" s="835">
        <v>1</v>
      </c>
      <c r="S19" s="835"/>
      <c r="T19" s="95">
        <f t="shared" si="4"/>
        <v>90.86</v>
      </c>
      <c r="U19" s="523">
        <f t="shared" si="5"/>
        <v>504135.25</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47.93</v>
      </c>
      <c r="D30" s="94">
        <f>SUM(D14:D29)</f>
        <v>0</v>
      </c>
      <c r="E30" s="94">
        <f>SUM(E14:E29)</f>
        <v>95.86</v>
      </c>
      <c r="F30" s="792"/>
      <c r="G30" s="792"/>
      <c r="H30" s="99">
        <f>SUM(H14:H29)</f>
        <v>93.861099999999993</v>
      </c>
      <c r="I30" s="94">
        <f>SUM(I14:I29)</f>
        <v>520786.81</v>
      </c>
      <c r="N30" s="838" t="s">
        <v>5</v>
      </c>
      <c r="O30" s="838"/>
      <c r="P30" s="839">
        <f>SUM(P14:P29)</f>
        <v>95.86</v>
      </c>
      <c r="Q30" s="839"/>
      <c r="R30" s="840"/>
      <c r="S30" s="840"/>
      <c r="T30" s="100">
        <f>SUM(T14:T29)</f>
        <v>95.86</v>
      </c>
      <c r="U30" s="524">
        <f>SUM(U14:U29)</f>
        <v>531877.67000000004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93.861099999999993</v>
      </c>
      <c r="F46" s="34"/>
      <c r="G46" s="106"/>
      <c r="H46" s="107" t="s">
        <v>98</v>
      </c>
      <c r="I46" s="94">
        <f>SUM(I44,I30)</f>
        <v>520786.81</v>
      </c>
      <c r="N46" s="846" t="s">
        <v>44</v>
      </c>
      <c r="O46" s="846"/>
      <c r="P46" s="846"/>
      <c r="Q46" s="846"/>
      <c r="R46" s="35">
        <f>R44+T30</f>
        <v>95.86</v>
      </c>
      <c r="S46" s="840" t="s">
        <v>42</v>
      </c>
      <c r="T46" s="840"/>
      <c r="U46" s="108">
        <f>SUM(U44,U30)</f>
        <v>531877.67000000004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508726.63</v>
      </c>
      <c r="G51" s="109" t="s">
        <v>6</v>
      </c>
      <c r="H51" s="453">
        <v>5.5899999999999998E-2</v>
      </c>
      <c r="I51" s="101">
        <f>ROUND(F51*H51,2)</f>
        <v>28437.82</v>
      </c>
      <c r="N51" s="458"/>
      <c r="O51" s="459" t="s">
        <v>576</v>
      </c>
      <c r="P51" s="28"/>
      <c r="Q51" s="44" t="s">
        <v>461</v>
      </c>
      <c r="R51" s="460">
        <f>U30</f>
        <v>531877.67000000004</v>
      </c>
      <c r="S51" s="461" t="s">
        <v>6</v>
      </c>
      <c r="T51" s="462">
        <v>5.5899999999999998E-2</v>
      </c>
      <c r="U51" s="454">
        <f>ROUND(R51*T51,2)</f>
        <v>29731.96</v>
      </c>
    </row>
    <row r="52" spans="1:22" x14ac:dyDescent="0.25">
      <c r="A52" s="26"/>
      <c r="B52" s="618" t="s">
        <v>580</v>
      </c>
      <c r="C52" s="26"/>
      <c r="D52" s="26"/>
      <c r="E52" s="43" t="s">
        <v>461</v>
      </c>
      <c r="F52" s="452">
        <v>508726.63</v>
      </c>
      <c r="G52" s="109" t="s">
        <v>6</v>
      </c>
      <c r="H52" s="453">
        <v>1.0699999999999999E-2</v>
      </c>
      <c r="I52" s="101">
        <f>ROUND(F52*H52,2)</f>
        <v>5443.37</v>
      </c>
      <c r="N52" s="28"/>
      <c r="O52" s="619" t="s">
        <v>579</v>
      </c>
      <c r="P52" s="28"/>
      <c r="Q52" s="44" t="s">
        <v>461</v>
      </c>
      <c r="R52" s="460">
        <f>U30</f>
        <v>531877.67000000004</v>
      </c>
      <c r="S52" s="461" t="s">
        <v>6</v>
      </c>
      <c r="T52" s="462">
        <v>1.0699999999999999E-2</v>
      </c>
      <c r="U52" s="463">
        <f>ROUND(R52*T52,2)</f>
        <v>5691.09</v>
      </c>
    </row>
    <row r="53" spans="1:22" x14ac:dyDescent="0.25">
      <c r="A53" s="26"/>
      <c r="B53" s="81" t="s">
        <v>462</v>
      </c>
      <c r="C53" s="26"/>
      <c r="D53" s="26"/>
      <c r="E53" s="43"/>
      <c r="F53" s="452"/>
      <c r="G53" s="109"/>
      <c r="H53" s="453"/>
      <c r="I53" s="97">
        <f>SUM(I51:I52)</f>
        <v>33881.19</v>
      </c>
      <c r="N53" s="28"/>
      <c r="O53" s="435" t="s">
        <v>462</v>
      </c>
      <c r="P53" s="28"/>
      <c r="Q53" s="44"/>
      <c r="R53" s="460"/>
      <c r="S53" s="461"/>
      <c r="T53" s="462"/>
      <c r="U53" s="454">
        <f>SUM(U51:U52)</f>
        <v>35423.050000000003</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2.5</v>
      </c>
      <c r="D61" s="143">
        <v>0</v>
      </c>
      <c r="E61" s="116">
        <f t="shared" si="10"/>
        <v>5</v>
      </c>
      <c r="F61" s="495" t="s">
        <v>13</v>
      </c>
      <c r="G61" s="494">
        <v>252</v>
      </c>
      <c r="H61" s="508">
        <f>'1461'!H61</f>
        <v>3506</v>
      </c>
      <c r="I61" s="101">
        <f t="shared" si="11"/>
        <v>17530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0.4</v>
      </c>
      <c r="D63" s="143">
        <v>0</v>
      </c>
      <c r="E63" s="116">
        <f t="shared" si="10"/>
        <v>0.8</v>
      </c>
      <c r="F63" s="495" t="s">
        <v>14</v>
      </c>
      <c r="G63" s="494">
        <v>251</v>
      </c>
      <c r="H63" s="508">
        <f>'1461'!H63</f>
        <v>835</v>
      </c>
      <c r="I63" s="101">
        <f t="shared" si="11"/>
        <v>668</v>
      </c>
      <c r="N63" s="849"/>
      <c r="O63" s="849"/>
      <c r="P63" s="851"/>
      <c r="Q63" s="851"/>
      <c r="R63" s="40" t="s">
        <v>14</v>
      </c>
      <c r="S63" s="500">
        <v>251</v>
      </c>
      <c r="T63" s="511">
        <f t="shared" si="12"/>
        <v>835</v>
      </c>
      <c r="U63" s="525">
        <f t="shared" si="13"/>
        <v>0</v>
      </c>
      <c r="V63" s="475"/>
    </row>
    <row r="64" spans="1:22" x14ac:dyDescent="0.25">
      <c r="A64" s="799"/>
      <c r="B64" s="799"/>
      <c r="C64" s="143">
        <v>32.520000000000003</v>
      </c>
      <c r="D64" s="143">
        <v>0</v>
      </c>
      <c r="E64" s="116">
        <f t="shared" si="10"/>
        <v>65.040000000000006</v>
      </c>
      <c r="F64" s="495" t="s">
        <v>14</v>
      </c>
      <c r="G64" s="494">
        <v>252</v>
      </c>
      <c r="H64" s="508">
        <f>'1461'!H64</f>
        <v>3168</v>
      </c>
      <c r="I64" s="101">
        <f t="shared" si="11"/>
        <v>206046.72</v>
      </c>
      <c r="N64" s="849"/>
      <c r="O64" s="849"/>
      <c r="P64" s="851"/>
      <c r="Q64" s="851"/>
      <c r="R64" s="40" t="s">
        <v>14</v>
      </c>
      <c r="S64" s="500">
        <v>252</v>
      </c>
      <c r="T64" s="511">
        <f t="shared" si="12"/>
        <v>3168</v>
      </c>
      <c r="U64" s="525">
        <f t="shared" si="13"/>
        <v>0</v>
      </c>
      <c r="V64" s="475"/>
    </row>
    <row r="65" spans="1:22" ht="16.5" thickBot="1" x14ac:dyDescent="0.3">
      <c r="A65" s="799"/>
      <c r="B65" s="799"/>
      <c r="C65" s="143">
        <v>12.51</v>
      </c>
      <c r="D65" s="143">
        <v>0</v>
      </c>
      <c r="E65" s="116">
        <f t="shared" si="10"/>
        <v>25.02</v>
      </c>
      <c r="F65" s="495" t="s">
        <v>14</v>
      </c>
      <c r="G65" s="494">
        <v>253</v>
      </c>
      <c r="H65" s="508">
        <f>'1461'!H65</f>
        <v>6685</v>
      </c>
      <c r="I65" s="101">
        <f t="shared" si="11"/>
        <v>167258.70000000001</v>
      </c>
      <c r="N65" s="849"/>
      <c r="O65" s="849"/>
      <c r="P65" s="857"/>
      <c r="Q65" s="857"/>
      <c r="R65" s="40" t="s">
        <v>14</v>
      </c>
      <c r="S65" s="500">
        <v>253</v>
      </c>
      <c r="T65" s="511">
        <f t="shared" si="12"/>
        <v>6685</v>
      </c>
      <c r="U65" s="526">
        <f t="shared" si="13"/>
        <v>0</v>
      </c>
      <c r="V65" s="475"/>
    </row>
    <row r="66" spans="1:22" ht="16.5" thickBot="1" x14ac:dyDescent="0.3">
      <c r="A66" s="491"/>
      <c r="C66" s="97">
        <f>SUM(C57:C65)</f>
        <v>47.93</v>
      </c>
      <c r="D66" s="97">
        <f>SUM(D57:D65)</f>
        <v>0</v>
      </c>
      <c r="E66" s="97">
        <f>SUM(E57:E65)</f>
        <v>95.86</v>
      </c>
      <c r="F66" s="800" t="s">
        <v>507</v>
      </c>
      <c r="G66" s="800"/>
      <c r="H66" s="800"/>
      <c r="I66" s="97">
        <f>SUM(I57:I65)</f>
        <v>391503.42000000004</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95.86</v>
      </c>
      <c r="D69" s="775" t="s">
        <v>474</v>
      </c>
      <c r="E69" s="775"/>
      <c r="F69" s="775"/>
      <c r="G69" s="775"/>
      <c r="H69" s="299">
        <f>'1461'!H69</f>
        <v>210935.24</v>
      </c>
      <c r="I69" s="113"/>
      <c r="N69" s="853" t="s">
        <v>467</v>
      </c>
      <c r="O69" s="834"/>
      <c r="P69" s="41">
        <f>P30</f>
        <v>95.86</v>
      </c>
      <c r="Q69" s="854" t="s">
        <v>469</v>
      </c>
      <c r="R69" s="855"/>
      <c r="S69" s="855"/>
      <c r="T69" s="856">
        <f>H69</f>
        <v>210935.24</v>
      </c>
      <c r="U69" s="856"/>
    </row>
    <row r="70" spans="1:22" x14ac:dyDescent="0.25">
      <c r="B70" s="69"/>
      <c r="G70" s="42" t="s">
        <v>12</v>
      </c>
      <c r="H70" s="114">
        <f>ROUND(C69/H69,6)</f>
        <v>4.5399999999999998E-4</v>
      </c>
      <c r="I70" s="115"/>
      <c r="N70" s="834"/>
      <c r="O70" s="834"/>
      <c r="P70" s="834"/>
      <c r="Q70" s="834"/>
      <c r="R70" s="834"/>
      <c r="S70" s="834"/>
      <c r="T70" s="852">
        <f>ROUND(P69/T69,6)</f>
        <v>4.5399999999999998E-4</v>
      </c>
      <c r="U70" s="852"/>
    </row>
    <row r="71" spans="1:22" x14ac:dyDescent="0.25">
      <c r="A71" s="493" t="s">
        <v>510</v>
      </c>
      <c r="N71" s="504" t="s">
        <v>518</v>
      </c>
      <c r="O71" s="51"/>
      <c r="P71" s="51"/>
      <c r="Q71" s="51"/>
      <c r="R71" s="51"/>
      <c r="S71" s="51"/>
      <c r="T71" s="51"/>
      <c r="U71" s="51"/>
    </row>
    <row r="72" spans="1:22" x14ac:dyDescent="0.25">
      <c r="A72" s="794" t="s">
        <v>464</v>
      </c>
      <c r="B72" s="788"/>
      <c r="C72" s="112">
        <f>H30</f>
        <v>93.861099999999993</v>
      </c>
      <c r="D72" s="775" t="s">
        <v>475</v>
      </c>
      <c r="E72" s="775"/>
      <c r="F72" s="775"/>
      <c r="G72" s="775"/>
      <c r="H72" s="300">
        <f>'1461'!H72</f>
        <v>237601.62</v>
      </c>
      <c r="I72" s="116"/>
      <c r="N72" s="853" t="s">
        <v>468</v>
      </c>
      <c r="O72" s="834"/>
      <c r="P72" s="41">
        <f>T30</f>
        <v>95.86</v>
      </c>
      <c r="Q72" s="854" t="s">
        <v>470</v>
      </c>
      <c r="R72" s="855"/>
      <c r="S72" s="855"/>
      <c r="T72" s="856">
        <f>H72</f>
        <v>237601.62</v>
      </c>
      <c r="U72" s="856"/>
    </row>
    <row r="73" spans="1:22" x14ac:dyDescent="0.25">
      <c r="G73" s="42" t="s">
        <v>12</v>
      </c>
      <c r="H73" s="114">
        <f>ROUND(C72/H72,6)</f>
        <v>3.9500000000000001E-4</v>
      </c>
      <c r="I73" s="114"/>
      <c r="N73" s="834"/>
      <c r="O73" s="834"/>
      <c r="P73" s="834"/>
      <c r="Q73" s="834"/>
      <c r="R73" s="834"/>
      <c r="S73" s="834"/>
      <c r="T73" s="852">
        <f>ROUND(P72/T72,6)</f>
        <v>4.0299999999999998E-4</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95.86</v>
      </c>
      <c r="D75" s="767" t="s">
        <v>476</v>
      </c>
      <c r="E75" s="767"/>
      <c r="F75" s="767"/>
      <c r="G75" s="767"/>
      <c r="H75" s="299">
        <f>'1461'!H75</f>
        <v>186826.74</v>
      </c>
      <c r="I75" s="113"/>
      <c r="N75" s="853" t="s">
        <v>466</v>
      </c>
      <c r="O75" s="834"/>
      <c r="P75" s="41">
        <f>P30</f>
        <v>95.86</v>
      </c>
      <c r="Q75" s="861" t="s">
        <v>471</v>
      </c>
      <c r="R75" s="862"/>
      <c r="S75" s="862"/>
      <c r="T75" s="856">
        <f>H75</f>
        <v>186826.74</v>
      </c>
      <c r="U75" s="856"/>
    </row>
    <row r="76" spans="1:22" x14ac:dyDescent="0.25">
      <c r="B76" s="69"/>
      <c r="G76" s="42" t="s">
        <v>12</v>
      </c>
      <c r="H76" s="114">
        <f>ROUND(C75/H75,6)</f>
        <v>5.13E-4</v>
      </c>
      <c r="I76" s="115"/>
      <c r="N76" s="834"/>
      <c r="O76" s="834"/>
      <c r="P76" s="834"/>
      <c r="Q76" s="834"/>
      <c r="R76" s="834"/>
      <c r="S76" s="834"/>
      <c r="T76" s="852">
        <f>ROUND(P75/T75,6)</f>
        <v>5.13E-4</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95.86</v>
      </c>
      <c r="D78" s="795" t="s">
        <v>477</v>
      </c>
      <c r="E78" s="795"/>
      <c r="F78" s="795"/>
      <c r="G78" s="795"/>
      <c r="H78" s="299">
        <f>'1461'!H78</f>
        <v>210630.63</v>
      </c>
      <c r="I78" s="113"/>
      <c r="N78" s="853" t="s">
        <v>466</v>
      </c>
      <c r="O78" s="834"/>
      <c r="P78" s="41">
        <f>P30</f>
        <v>95.86</v>
      </c>
      <c r="Q78" s="859" t="s">
        <v>472</v>
      </c>
      <c r="R78" s="860"/>
      <c r="S78" s="860"/>
      <c r="T78" s="856">
        <f>H78</f>
        <v>210630.63</v>
      </c>
      <c r="U78" s="856"/>
    </row>
    <row r="79" spans="1:22" x14ac:dyDescent="0.25">
      <c r="B79" s="69"/>
      <c r="G79" s="42" t="s">
        <v>12</v>
      </c>
      <c r="H79" s="114">
        <f>ROUND(C78/H78,6)</f>
        <v>4.55E-4</v>
      </c>
      <c r="I79" s="115"/>
      <c r="N79" s="834"/>
      <c r="O79" s="834"/>
      <c r="P79" s="834"/>
      <c r="Q79" s="834"/>
      <c r="R79" s="834"/>
      <c r="S79" s="834"/>
      <c r="T79" s="852">
        <f>ROUND(P78/T78,6)</f>
        <v>4.55E-4</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95.86</v>
      </c>
      <c r="D81" s="767" t="s">
        <v>478</v>
      </c>
      <c r="E81" s="767"/>
      <c r="F81" s="767"/>
      <c r="G81" s="767"/>
      <c r="H81" s="299">
        <f>'1461'!H81</f>
        <v>186522.13</v>
      </c>
      <c r="I81" s="113"/>
      <c r="N81" s="853" t="s">
        <v>479</v>
      </c>
      <c r="O81" s="834"/>
      <c r="P81" s="41">
        <f>P30</f>
        <v>95.86</v>
      </c>
      <c r="Q81" s="861" t="s">
        <v>480</v>
      </c>
      <c r="R81" s="862"/>
      <c r="S81" s="862"/>
      <c r="T81" s="856">
        <f>H81</f>
        <v>186522.13</v>
      </c>
      <c r="U81" s="856"/>
    </row>
    <row r="82" spans="1:21" x14ac:dyDescent="0.25">
      <c r="B82" s="69"/>
      <c r="G82" s="42" t="s">
        <v>12</v>
      </c>
      <c r="H82" s="114">
        <f>ROUND(C81/H81,6)</f>
        <v>5.1400000000000003E-4</v>
      </c>
      <c r="I82" s="115"/>
      <c r="N82" s="834"/>
      <c r="O82" s="834"/>
      <c r="P82" s="834"/>
      <c r="Q82" s="834"/>
      <c r="R82" s="834"/>
      <c r="S82" s="834"/>
      <c r="T82" s="852">
        <f>ROUND(P81/T81,6)</f>
        <v>5.1400000000000003E-4</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4.55E-4</v>
      </c>
      <c r="I85" s="101">
        <f>ROUND(F85*H85,2)</f>
        <v>21067.279999999999</v>
      </c>
      <c r="N85" s="504" t="s">
        <v>514</v>
      </c>
      <c r="O85" s="51"/>
      <c r="P85" s="51"/>
      <c r="Q85" s="44"/>
      <c r="R85" s="470">
        <f>F85</f>
        <v>46301717</v>
      </c>
      <c r="S85" s="38" t="s">
        <v>6</v>
      </c>
      <c r="T85" s="472">
        <f>T79</f>
        <v>4.55E-4</v>
      </c>
      <c r="U85" s="524">
        <f>ROUND(R85*T85,2)</f>
        <v>21067.279999999999</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4.5399999999999998E-4</v>
      </c>
      <c r="I88" s="101">
        <f>ROUND(F88*H88,2)</f>
        <v>0</v>
      </c>
      <c r="N88" s="863" t="s">
        <v>99</v>
      </c>
      <c r="O88" s="834"/>
      <c r="P88" s="834"/>
      <c r="Q88" s="44"/>
      <c r="R88" s="470">
        <f>F88</f>
        <v>0</v>
      </c>
      <c r="S88" s="38" t="s">
        <v>6</v>
      </c>
      <c r="T88" s="472">
        <f>T70</f>
        <v>4.5399999999999998E-4</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5.1400000000000003E-4</v>
      </c>
      <c r="I90" s="101">
        <f>ROUND(F90*H90,2)</f>
        <v>9830.7099999999991</v>
      </c>
      <c r="N90" s="504" t="s">
        <v>515</v>
      </c>
      <c r="O90" s="51"/>
      <c r="P90" s="51"/>
      <c r="Q90" s="44"/>
      <c r="R90" s="470">
        <f>F90</f>
        <v>19125890</v>
      </c>
      <c r="S90" s="38" t="s">
        <v>6</v>
      </c>
      <c r="T90" s="472">
        <f>T82</f>
        <v>5.1400000000000003E-4</v>
      </c>
      <c r="U90" s="524">
        <f>ROUND(R90*T90,2)</f>
        <v>9830.7099999999991</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5.13E-4</v>
      </c>
      <c r="I92" s="101">
        <f t="shared" ref="I92:I96" si="14">ROUND(F92*H92,2)</f>
        <v>5905.33</v>
      </c>
      <c r="N92" s="504" t="s">
        <v>516</v>
      </c>
      <c r="O92" s="51"/>
      <c r="P92" s="51"/>
      <c r="Q92" s="44"/>
      <c r="R92" s="470">
        <f t="shared" ref="R92:R96" si="15">F92</f>
        <v>11511363</v>
      </c>
      <c r="S92" s="38" t="s">
        <v>6</v>
      </c>
      <c r="T92" s="472">
        <f>T76</f>
        <v>5.13E-4</v>
      </c>
      <c r="U92" s="524">
        <f>ROUND(R92*T92,2)</f>
        <v>5905.33</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3.9500000000000001E-4</v>
      </c>
      <c r="I94" s="101">
        <f t="shared" si="14"/>
        <v>101023.94</v>
      </c>
      <c r="N94" s="834" t="s">
        <v>482</v>
      </c>
      <c r="O94" s="834"/>
      <c r="P94" s="834"/>
      <c r="Q94" s="44"/>
      <c r="R94" s="470">
        <f t="shared" si="15"/>
        <v>255756816</v>
      </c>
      <c r="S94" s="38" t="s">
        <v>6</v>
      </c>
      <c r="T94" s="472">
        <f>T73</f>
        <v>4.0299999999999998E-4</v>
      </c>
      <c r="U94" s="524">
        <f>ROUND(R94*T94,2)</f>
        <v>103070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3.9500000000000001E-4</v>
      </c>
      <c r="I96" s="101">
        <f t="shared" si="14"/>
        <v>-6100.4</v>
      </c>
      <c r="N96" s="853" t="s">
        <v>483</v>
      </c>
      <c r="O96" s="834"/>
      <c r="P96" s="834"/>
      <c r="Q96" s="44"/>
      <c r="R96" s="470">
        <f t="shared" si="15"/>
        <v>-15444055</v>
      </c>
      <c r="S96" s="38" t="s">
        <v>6</v>
      </c>
      <c r="T96" s="472">
        <f>T73</f>
        <v>4.0299999999999998E-4</v>
      </c>
      <c r="U96" s="524">
        <f>ROUND(R96*T96,2)</f>
        <v>-6223.95</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4.5399999999999998E-4</v>
      </c>
      <c r="I98" s="101">
        <f t="shared" ref="I98" si="16">ROUND(F98*H98,2)</f>
        <v>2552.13</v>
      </c>
      <c r="N98" s="587" t="s">
        <v>556</v>
      </c>
      <c r="O98" s="587"/>
      <c r="P98" s="587"/>
      <c r="Q98" s="44"/>
      <c r="R98" s="590">
        <f>F98</f>
        <v>5621424</v>
      </c>
      <c r="S98" s="588" t="s">
        <v>6</v>
      </c>
      <c r="T98" s="472">
        <f>T70</f>
        <v>4.5399999999999998E-4</v>
      </c>
      <c r="U98" s="524">
        <f>ROUND(R98*T98,2)</f>
        <v>2552.13</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5</v>
      </c>
      <c r="D105" s="806"/>
      <c r="E105" s="46">
        <f>H8</f>
        <v>1.0407999999999999</v>
      </c>
      <c r="F105" s="302">
        <f>'1461'!F105</f>
        <v>907.92</v>
      </c>
      <c r="G105" s="39" t="s">
        <v>12</v>
      </c>
      <c r="H105" s="101">
        <f>ROUND(C105*E105*F105,2)</f>
        <v>4724.82</v>
      </c>
      <c r="N105" s="50" t="s">
        <v>13</v>
      </c>
      <c r="O105" s="47">
        <f>T16+T17+T21+T24+T27</f>
        <v>5</v>
      </c>
      <c r="P105" s="864">
        <f>T8</f>
        <v>1.0407999999999999</v>
      </c>
      <c r="Q105" s="864"/>
      <c r="R105" s="48">
        <f>F105</f>
        <v>907.92</v>
      </c>
      <c r="S105" s="40" t="s">
        <v>12</v>
      </c>
      <c r="T105" s="530">
        <f>ROUND(O105*P105*R105,2)</f>
        <v>4724.82</v>
      </c>
      <c r="U105" s="51"/>
    </row>
    <row r="106" spans="1:21" ht="16.5" thickBot="1" x14ac:dyDescent="0.3">
      <c r="A106" s="52"/>
      <c r="B106" s="52" t="s">
        <v>103</v>
      </c>
      <c r="C106" s="806">
        <f>H18+H19+H22+H25+H28+H29</f>
        <v>88.861099999999993</v>
      </c>
      <c r="D106" s="806"/>
      <c r="E106" s="46">
        <f>H8</f>
        <v>1.0407999999999999</v>
      </c>
      <c r="F106" s="302">
        <f>'1461'!F106</f>
        <v>910.12</v>
      </c>
      <c r="G106" s="39" t="s">
        <v>12</v>
      </c>
      <c r="H106" s="94">
        <f>ROUND(C106*E106*F106,2)</f>
        <v>84173.93</v>
      </c>
      <c r="N106" s="53" t="s">
        <v>14</v>
      </c>
      <c r="O106" s="54">
        <f>T18+T19+T22+T25+T28+T29</f>
        <v>90.86</v>
      </c>
      <c r="P106" s="864">
        <f>T8</f>
        <v>1.0407999999999999</v>
      </c>
      <c r="Q106" s="864"/>
      <c r="R106" s="48">
        <f>F106</f>
        <v>910.12</v>
      </c>
      <c r="S106" s="40" t="s">
        <v>12</v>
      </c>
      <c r="T106" s="530">
        <f>ROUND(O106*P106*R106,2)</f>
        <v>86067.4</v>
      </c>
      <c r="U106" s="51"/>
    </row>
    <row r="107" spans="1:21" ht="16.5" thickBot="1" x14ac:dyDescent="0.3">
      <c r="A107" s="55"/>
      <c r="B107" s="122" t="s">
        <v>102</v>
      </c>
      <c r="C107" s="796">
        <f>SUM(C104:C106)</f>
        <v>93.861099999999993</v>
      </c>
      <c r="D107" s="796"/>
      <c r="E107" s="123"/>
      <c r="F107" s="123"/>
      <c r="G107" s="123"/>
      <c r="H107" s="124" t="s">
        <v>100</v>
      </c>
      <c r="I107" s="101">
        <f>IF(A1=75,0,H106+H105+H104)</f>
        <v>88898.75</v>
      </c>
      <c r="N107" s="56" t="s">
        <v>89</v>
      </c>
      <c r="O107" s="57">
        <f>SUM(O104:O106)</f>
        <v>95.86</v>
      </c>
      <c r="P107" s="870" t="s">
        <v>16</v>
      </c>
      <c r="Q107" s="871"/>
      <c r="R107" s="871"/>
      <c r="S107" s="871"/>
      <c r="T107" s="871"/>
      <c r="U107" s="524">
        <f>IF(N1=75,0,T106+T105+T104)</f>
        <v>90792.22</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40</v>
      </c>
      <c r="D113" s="143">
        <v>0</v>
      </c>
      <c r="E113" s="116">
        <f>C113</f>
        <v>40</v>
      </c>
      <c r="F113" s="126" t="s">
        <v>30</v>
      </c>
      <c r="G113" s="303">
        <f>'1461'!G113</f>
        <v>607</v>
      </c>
      <c r="I113" s="101">
        <f>ROUND(G113*E113,2)</f>
        <v>24280</v>
      </c>
      <c r="N113" s="868" t="s">
        <v>52</v>
      </c>
      <c r="O113" s="868"/>
      <c r="P113" s="869">
        <f>IF(H133=1,E113,0)</f>
        <v>40</v>
      </c>
      <c r="Q113" s="869"/>
      <c r="R113" s="869"/>
      <c r="S113" s="83" t="s">
        <v>30</v>
      </c>
      <c r="T113" s="58">
        <f>G113</f>
        <v>607</v>
      </c>
      <c r="U113" s="524">
        <f>ROUND(T113*P113,2)</f>
        <v>24280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1159747.97</v>
      </c>
      <c r="N128" s="504"/>
      <c r="O128" s="503"/>
      <c r="P128" s="503"/>
      <c r="Q128" s="305"/>
      <c r="R128" s="305"/>
      <c r="S128" s="305"/>
      <c r="T128" s="305"/>
      <c r="U128" s="531">
        <f>SUM(U30,U85,U88,U90,U92,U94,U96,U107,U113,U114,U124,U126)</f>
        <v>780599.26</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1125866.78</v>
      </c>
      <c r="N130" s="834" t="s">
        <v>494</v>
      </c>
      <c r="O130" s="834"/>
      <c r="P130" s="834"/>
      <c r="Q130" s="834"/>
      <c r="R130" s="834"/>
      <c r="S130" s="834"/>
      <c r="T130" s="834"/>
      <c r="U130" s="132">
        <f>U128-U53</f>
        <v>745176.21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f>IF(E30=0,"",IF((E15+E17+SUM(E19:E25))/E30&gt;0.75,1,""))</f>
        <v>1</v>
      </c>
      <c r="I133" s="116">
        <f>U130</f>
        <v>745176.21</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745176.21</v>
      </c>
      <c r="I135" s="94">
        <f>ROUND(IF(E30=0,0,IF(E30&gt;250,-(((250/E30)*H135)*IF(G135="H",0.02,0.05)),IF(G135="H",-0.02*H135,-0.05*H135))),2)</f>
        <v>-37258.81</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1122489.1599999999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Payments'!Q89</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1122489.1599999999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93540.76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121</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0.5</v>
      </c>
      <c r="D16" s="143">
        <v>0</v>
      </c>
      <c r="E16" s="116">
        <f t="shared" si="1"/>
        <v>1</v>
      </c>
      <c r="F16" s="833">
        <f>'1461'!F16:G16</f>
        <v>1</v>
      </c>
      <c r="G16" s="833"/>
      <c r="H16" s="80">
        <f t="shared" si="2"/>
        <v>1</v>
      </c>
      <c r="I16" s="101">
        <f t="shared" si="3"/>
        <v>5548.48</v>
      </c>
      <c r="N16" s="834" t="s">
        <v>22</v>
      </c>
      <c r="O16" s="834"/>
      <c r="P16" s="831">
        <f t="shared" si="0"/>
        <v>0</v>
      </c>
      <c r="Q16" s="831"/>
      <c r="R16" s="835">
        <v>1</v>
      </c>
      <c r="S16" s="835"/>
      <c r="T16" s="95">
        <f t="shared" si="4"/>
        <v>0</v>
      </c>
      <c r="U16" s="524">
        <f t="shared" si="5"/>
        <v>0</v>
      </c>
    </row>
    <row r="17" spans="1:21" x14ac:dyDescent="0.25">
      <c r="A17" s="788" t="s">
        <v>23</v>
      </c>
      <c r="B17" s="788"/>
      <c r="C17" s="143">
        <v>0.5</v>
      </c>
      <c r="D17" s="143">
        <v>0</v>
      </c>
      <c r="E17" s="116">
        <f t="shared" si="1"/>
        <v>1</v>
      </c>
      <c r="F17" s="833">
        <f>'1461'!F17:G17</f>
        <v>1</v>
      </c>
      <c r="G17" s="833"/>
      <c r="H17" s="80">
        <f t="shared" si="2"/>
        <v>1</v>
      </c>
      <c r="I17" s="101">
        <f t="shared" si="3"/>
        <v>5548.48</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159.38</v>
      </c>
      <c r="D18" s="143">
        <v>0</v>
      </c>
      <c r="E18" s="116">
        <f t="shared" si="1"/>
        <v>318.76</v>
      </c>
      <c r="F18" s="833">
        <f>'1461'!F18:G18</f>
        <v>0.97799999999999998</v>
      </c>
      <c r="G18" s="833"/>
      <c r="H18" s="80">
        <f t="shared" si="2"/>
        <v>311.7473</v>
      </c>
      <c r="I18" s="101">
        <f t="shared" si="3"/>
        <v>1729724.9</v>
      </c>
      <c r="N18" s="834" t="s">
        <v>24</v>
      </c>
      <c r="O18" s="834"/>
      <c r="P18" s="831">
        <f t="shared" si="0"/>
        <v>0</v>
      </c>
      <c r="Q18" s="831"/>
      <c r="R18" s="835">
        <v>1</v>
      </c>
      <c r="S18" s="835"/>
      <c r="T18" s="95">
        <f t="shared" si="4"/>
        <v>0</v>
      </c>
      <c r="U18" s="524">
        <f t="shared" si="5"/>
        <v>0</v>
      </c>
    </row>
    <row r="19" spans="1:21" x14ac:dyDescent="0.25">
      <c r="A19" s="788" t="s">
        <v>25</v>
      </c>
      <c r="B19" s="788"/>
      <c r="C19" s="143">
        <v>39.5</v>
      </c>
      <c r="D19" s="143">
        <v>0</v>
      </c>
      <c r="E19" s="116">
        <f t="shared" si="1"/>
        <v>79</v>
      </c>
      <c r="F19" s="833">
        <f>'1461'!F19:G19</f>
        <v>0.97799999999999998</v>
      </c>
      <c r="G19" s="833"/>
      <c r="H19" s="80">
        <f t="shared" si="2"/>
        <v>77.262</v>
      </c>
      <c r="I19" s="101">
        <f t="shared" si="3"/>
        <v>428686.97</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11.26</v>
      </c>
      <c r="D28" s="143">
        <v>0</v>
      </c>
      <c r="E28" s="116">
        <f t="shared" si="1"/>
        <v>22.52</v>
      </c>
      <c r="F28" s="833">
        <f>'1461'!F28:G28</f>
        <v>1.1919999999999999</v>
      </c>
      <c r="G28" s="833"/>
      <c r="H28" s="80">
        <f t="shared" si="2"/>
        <v>26.843800000000002</v>
      </c>
      <c r="I28" s="101">
        <f t="shared" si="3"/>
        <v>148942.39000000001</v>
      </c>
      <c r="N28" s="834" t="s">
        <v>87</v>
      </c>
      <c r="O28" s="834"/>
      <c r="P28" s="831">
        <f t="shared" si="0"/>
        <v>0</v>
      </c>
      <c r="Q28" s="831"/>
      <c r="R28" s="835">
        <v>1</v>
      </c>
      <c r="S28" s="835"/>
      <c r="T28" s="95">
        <f t="shared" si="4"/>
        <v>0</v>
      </c>
      <c r="U28" s="524">
        <f t="shared" si="5"/>
        <v>0</v>
      </c>
    </row>
    <row r="29" spans="1:21" x14ac:dyDescent="0.25">
      <c r="A29" s="788" t="s">
        <v>88</v>
      </c>
      <c r="B29" s="788"/>
      <c r="C29" s="110">
        <v>1.7</v>
      </c>
      <c r="D29" s="110">
        <v>0</v>
      </c>
      <c r="E29" s="154">
        <f t="shared" si="1"/>
        <v>3.4</v>
      </c>
      <c r="F29" s="833">
        <f>'1461'!F29:G29</f>
        <v>1.079</v>
      </c>
      <c r="G29" s="833"/>
      <c r="H29" s="93">
        <f t="shared" si="2"/>
        <v>3.6686000000000001</v>
      </c>
      <c r="I29" s="94">
        <f t="shared" si="3"/>
        <v>20355.169999999998</v>
      </c>
      <c r="N29" s="836" t="s">
        <v>88</v>
      </c>
      <c r="O29" s="836"/>
      <c r="P29" s="831">
        <f t="shared" si="0"/>
        <v>0</v>
      </c>
      <c r="Q29" s="831"/>
      <c r="R29" s="837">
        <v>1</v>
      </c>
      <c r="S29" s="837"/>
      <c r="T29" s="95">
        <f t="shared" si="4"/>
        <v>0</v>
      </c>
      <c r="U29" s="524">
        <f t="shared" si="5"/>
        <v>0</v>
      </c>
    </row>
    <row r="30" spans="1:21" x14ac:dyDescent="0.25">
      <c r="A30" s="800" t="s">
        <v>5</v>
      </c>
      <c r="B30" s="800"/>
      <c r="C30" s="94">
        <f>SUM(C14:C29)</f>
        <v>212.83999999999997</v>
      </c>
      <c r="D30" s="94">
        <f>SUM(D14:D29)</f>
        <v>0</v>
      </c>
      <c r="E30" s="94">
        <f>SUM(E14:E29)</f>
        <v>425.67999999999995</v>
      </c>
      <c r="F30" s="792"/>
      <c r="G30" s="792"/>
      <c r="H30" s="99">
        <f>SUM(H14:H29)</f>
        <v>421.52170000000001</v>
      </c>
      <c r="I30" s="94">
        <f>SUM(I14:I29)</f>
        <v>2338806.39</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421.52170000000001</v>
      </c>
      <c r="F46" s="34"/>
      <c r="G46" s="106"/>
      <c r="H46" s="107" t="s">
        <v>98</v>
      </c>
      <c r="I46" s="94">
        <f>SUM(I44,I30)</f>
        <v>2338806.39</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2100483.48</v>
      </c>
      <c r="G51" s="109" t="s">
        <v>6</v>
      </c>
      <c r="H51" s="453">
        <v>5.5899999999999998E-2</v>
      </c>
      <c r="I51" s="101">
        <f>ROUND(F51*H51,2)</f>
        <v>117417.03</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2100483.48</v>
      </c>
      <c r="G52" s="109" t="s">
        <v>6</v>
      </c>
      <c r="H52" s="453">
        <v>1.0699999999999999E-2</v>
      </c>
      <c r="I52" s="101">
        <f>ROUND(F52*H52,2)</f>
        <v>22475.17</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139892.20000000001</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0.5</v>
      </c>
      <c r="D60" s="143">
        <v>0</v>
      </c>
      <c r="E60" s="116">
        <f t="shared" si="10"/>
        <v>1</v>
      </c>
      <c r="F60" s="495" t="s">
        <v>13</v>
      </c>
      <c r="G60" s="494">
        <v>251</v>
      </c>
      <c r="H60" s="508">
        <f>'1461'!H60</f>
        <v>1173</v>
      </c>
      <c r="I60" s="101">
        <f t="shared" si="11"/>
        <v>1173</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35</v>
      </c>
      <c r="D63" s="143">
        <v>0</v>
      </c>
      <c r="E63" s="116">
        <f t="shared" si="10"/>
        <v>70</v>
      </c>
      <c r="F63" s="495" t="s">
        <v>14</v>
      </c>
      <c r="G63" s="494">
        <v>251</v>
      </c>
      <c r="H63" s="508">
        <f>'1461'!H63</f>
        <v>835</v>
      </c>
      <c r="I63" s="101">
        <f t="shared" si="11"/>
        <v>58450</v>
      </c>
      <c r="N63" s="849"/>
      <c r="O63" s="849"/>
      <c r="P63" s="851"/>
      <c r="Q63" s="851"/>
      <c r="R63" s="40" t="s">
        <v>14</v>
      </c>
      <c r="S63" s="500">
        <v>251</v>
      </c>
      <c r="T63" s="511">
        <f t="shared" si="12"/>
        <v>835</v>
      </c>
      <c r="U63" s="525">
        <f t="shared" si="13"/>
        <v>0</v>
      </c>
      <c r="V63" s="475"/>
    </row>
    <row r="64" spans="1:22" x14ac:dyDescent="0.25">
      <c r="A64" s="799"/>
      <c r="B64" s="799"/>
      <c r="C64" s="143">
        <v>4</v>
      </c>
      <c r="D64" s="143">
        <v>0</v>
      </c>
      <c r="E64" s="116">
        <f t="shared" si="10"/>
        <v>8</v>
      </c>
      <c r="F64" s="495" t="s">
        <v>14</v>
      </c>
      <c r="G64" s="494">
        <v>252</v>
      </c>
      <c r="H64" s="508">
        <f>'1461'!H64</f>
        <v>3168</v>
      </c>
      <c r="I64" s="101">
        <f t="shared" si="11"/>
        <v>25344</v>
      </c>
      <c r="N64" s="849"/>
      <c r="O64" s="849"/>
      <c r="P64" s="851"/>
      <c r="Q64" s="851"/>
      <c r="R64" s="40" t="s">
        <v>14</v>
      </c>
      <c r="S64" s="500">
        <v>252</v>
      </c>
      <c r="T64" s="511">
        <f t="shared" si="12"/>
        <v>3168</v>
      </c>
      <c r="U64" s="525">
        <f t="shared" si="13"/>
        <v>0</v>
      </c>
      <c r="V64" s="475"/>
    </row>
    <row r="65" spans="1:22" ht="16.5" thickBot="1" x14ac:dyDescent="0.3">
      <c r="A65" s="799"/>
      <c r="B65" s="799"/>
      <c r="C65" s="143">
        <v>0.5</v>
      </c>
      <c r="D65" s="143">
        <v>0</v>
      </c>
      <c r="E65" s="116">
        <f t="shared" si="10"/>
        <v>1</v>
      </c>
      <c r="F65" s="495" t="s">
        <v>14</v>
      </c>
      <c r="G65" s="494">
        <v>253</v>
      </c>
      <c r="H65" s="508">
        <f>'1461'!H65</f>
        <v>6685</v>
      </c>
      <c r="I65" s="101">
        <f t="shared" si="11"/>
        <v>6685</v>
      </c>
      <c r="N65" s="849"/>
      <c r="O65" s="849"/>
      <c r="P65" s="857"/>
      <c r="Q65" s="857"/>
      <c r="R65" s="40" t="s">
        <v>14</v>
      </c>
      <c r="S65" s="500">
        <v>253</v>
      </c>
      <c r="T65" s="511">
        <f t="shared" si="12"/>
        <v>6685</v>
      </c>
      <c r="U65" s="526">
        <f t="shared" si="13"/>
        <v>0</v>
      </c>
      <c r="V65" s="475"/>
    </row>
    <row r="66" spans="1:22" ht="16.5" thickBot="1" x14ac:dyDescent="0.3">
      <c r="A66" s="491"/>
      <c r="C66" s="97">
        <f>SUM(C57:C65)</f>
        <v>40</v>
      </c>
      <c r="D66" s="97">
        <f>SUM(D57:D65)</f>
        <v>0</v>
      </c>
      <c r="E66" s="97">
        <f>SUM(E57:E65)</f>
        <v>80</v>
      </c>
      <c r="F66" s="800" t="s">
        <v>507</v>
      </c>
      <c r="G66" s="800"/>
      <c r="H66" s="800"/>
      <c r="I66" s="97">
        <f>SUM(I57:I65)</f>
        <v>91652</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425.67999999999995</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2.0179999999999998E-3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421.52170000000001</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1.774E-3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425.67999999999995</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2.2780000000000001E-3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425.67999999999995</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2.0209999999999998E-3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425.67999999999995</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2.2820000000000002E-3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2.0209999999999998E-3</v>
      </c>
      <c r="I85" s="101">
        <f>ROUND(F85*H85,2)</f>
        <v>93575.77</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2.0179999999999998E-3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2.2820000000000002E-3</v>
      </c>
      <c r="I90" s="101">
        <f>ROUND(F90*H90,2)</f>
        <v>43645.279999999999</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2.2780000000000001E-3</v>
      </c>
      <c r="I92" s="101">
        <f t="shared" ref="I92:I96" si="14">ROUND(F92*H92,2)</f>
        <v>26222.880000000001</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1.774E-3</v>
      </c>
      <c r="I94" s="101">
        <f t="shared" si="14"/>
        <v>453712.59</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1.774E-3</v>
      </c>
      <c r="I96" s="101">
        <f t="shared" si="14"/>
        <v>-27397.75</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2.0179999999999998E-3</v>
      </c>
      <c r="I98" s="101">
        <f t="shared" ref="I98" si="16">ROUND(F98*H98,2)</f>
        <v>11344.03</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2</v>
      </c>
      <c r="D105" s="806"/>
      <c r="E105" s="46">
        <f>H8</f>
        <v>1.0407999999999999</v>
      </c>
      <c r="F105" s="302">
        <f>'1461'!F105</f>
        <v>907.92</v>
      </c>
      <c r="G105" s="39" t="s">
        <v>12</v>
      </c>
      <c r="H105" s="101">
        <f>ROUND(C105*E105*F105,2)</f>
        <v>1889.93</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419.52170000000001</v>
      </c>
      <c r="D106" s="806"/>
      <c r="E106" s="46">
        <f>H8</f>
        <v>1.0407999999999999</v>
      </c>
      <c r="F106" s="302">
        <f>'1461'!F106</f>
        <v>910.12</v>
      </c>
      <c r="G106" s="39" t="s">
        <v>12</v>
      </c>
      <c r="H106" s="94">
        <f>ROUND(C106*E106*F106,2)</f>
        <v>397393.15</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421.52170000000001</v>
      </c>
      <c r="D107" s="796"/>
      <c r="E107" s="123"/>
      <c r="F107" s="123"/>
      <c r="G107" s="123"/>
      <c r="H107" s="124" t="s">
        <v>100</v>
      </c>
      <c r="I107" s="101">
        <f>IF(A1=75,0,H106+H105+H104)</f>
        <v>399283.08</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276</v>
      </c>
      <c r="D113" s="143">
        <v>0</v>
      </c>
      <c r="E113" s="116">
        <f>C113</f>
        <v>276</v>
      </c>
      <c r="F113" s="126" t="s">
        <v>30</v>
      </c>
      <c r="G113" s="303">
        <f>'1461'!G113</f>
        <v>607</v>
      </c>
      <c r="I113" s="101">
        <f>ROUND(G113*E113,2)</f>
        <v>167532</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3598376.2699999996</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3458484.0699999994</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3458484.0699999994</v>
      </c>
      <c r="I135" s="94">
        <f>ROUND(IF(E30=0,0,IF(E30&gt;250,-(((250/E30)*H135)*IF(G135="H",0.02,0.05)),IF(G135="H",-0.02*H135,-0.05*H135))),2)</f>
        <v>-101557.63</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3496818.6399999997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Payments'!Q90</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3496818.6399999997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291401.55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71366.570000000007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122</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99.81</v>
      </c>
      <c r="D14" s="141">
        <v>0</v>
      </c>
      <c r="E14" s="187">
        <f>IF(D$30=0,C14*2,C14+D14)</f>
        <v>199.62</v>
      </c>
      <c r="F14" s="829">
        <f>'1461'!F14:G14</f>
        <v>1.1180000000000001</v>
      </c>
      <c r="G14" s="829"/>
      <c r="H14" s="145">
        <f>ROUND(E14*F14,4)</f>
        <v>223.17519999999999</v>
      </c>
      <c r="I14" s="111">
        <f>ROUND(ROUND(ROUND(H14*$C$8,4)*($H$8),2)*(MAX($H$9,1)),2)</f>
        <v>1238284.02</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18</v>
      </c>
      <c r="D15" s="143">
        <v>0</v>
      </c>
      <c r="E15" s="116">
        <f t="shared" ref="E15:E29" si="1">IF(D$30=0,C15*2,C15+D15)</f>
        <v>36</v>
      </c>
      <c r="F15" s="833">
        <f>'1461'!F15:G15</f>
        <v>1.1180000000000001</v>
      </c>
      <c r="G15" s="833"/>
      <c r="H15" s="80">
        <f t="shared" ref="H15:H29" si="2">ROUND(E15*F15,4)</f>
        <v>40.247999999999998</v>
      </c>
      <c r="I15" s="101">
        <f t="shared" ref="I15:I29" si="3">ROUND(ROUND(ROUND(H15*$C$8,4)*($H$8),2)*(MAX($H$9,1)),2)</f>
        <v>223315.38</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47.68</v>
      </c>
      <c r="D16" s="143">
        <v>0</v>
      </c>
      <c r="E16" s="116">
        <f t="shared" si="1"/>
        <v>95.36</v>
      </c>
      <c r="F16" s="833">
        <f>'1461'!F16:G16</f>
        <v>1</v>
      </c>
      <c r="G16" s="833"/>
      <c r="H16" s="80">
        <f t="shared" si="2"/>
        <v>95.36</v>
      </c>
      <c r="I16" s="101">
        <f t="shared" si="3"/>
        <v>529103.43000000005</v>
      </c>
      <c r="N16" s="834" t="s">
        <v>22</v>
      </c>
      <c r="O16" s="834"/>
      <c r="P16" s="831">
        <f t="shared" si="0"/>
        <v>0</v>
      </c>
      <c r="Q16" s="831"/>
      <c r="R16" s="835">
        <v>1</v>
      </c>
      <c r="S16" s="835"/>
      <c r="T16" s="95">
        <f t="shared" si="4"/>
        <v>0</v>
      </c>
      <c r="U16" s="524">
        <f t="shared" si="5"/>
        <v>0</v>
      </c>
    </row>
    <row r="17" spans="1:21" x14ac:dyDescent="0.25">
      <c r="A17" s="788" t="s">
        <v>23</v>
      </c>
      <c r="B17" s="788"/>
      <c r="C17" s="143">
        <v>15</v>
      </c>
      <c r="D17" s="143">
        <v>0</v>
      </c>
      <c r="E17" s="116">
        <f t="shared" si="1"/>
        <v>30</v>
      </c>
      <c r="F17" s="833">
        <f>'1461'!F17:G17</f>
        <v>1</v>
      </c>
      <c r="G17" s="833"/>
      <c r="H17" s="80">
        <f t="shared" si="2"/>
        <v>30</v>
      </c>
      <c r="I17" s="101">
        <f t="shared" si="3"/>
        <v>166454.51999999999</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11.690000000000001</v>
      </c>
      <c r="D26" s="143">
        <v>0</v>
      </c>
      <c r="E26" s="116">
        <f t="shared" si="1"/>
        <v>23.380000000000003</v>
      </c>
      <c r="F26" s="833">
        <f>'1461'!F26:G26</f>
        <v>1.1919999999999999</v>
      </c>
      <c r="G26" s="833"/>
      <c r="H26" s="80">
        <f t="shared" si="2"/>
        <v>27.869</v>
      </c>
      <c r="I26" s="101">
        <f t="shared" si="3"/>
        <v>154630.70000000001</v>
      </c>
      <c r="N26" s="834" t="s">
        <v>85</v>
      </c>
      <c r="O26" s="834"/>
      <c r="P26" s="831">
        <f t="shared" si="0"/>
        <v>0</v>
      </c>
      <c r="Q26" s="831"/>
      <c r="R26" s="835">
        <v>1</v>
      </c>
      <c r="S26" s="835"/>
      <c r="T26" s="95">
        <f t="shared" si="4"/>
        <v>0</v>
      </c>
      <c r="U26" s="524">
        <f t="shared" si="5"/>
        <v>0</v>
      </c>
    </row>
    <row r="27" spans="1:21" x14ac:dyDescent="0.25">
      <c r="A27" s="788" t="s">
        <v>86</v>
      </c>
      <c r="B27" s="788"/>
      <c r="C27" s="143">
        <v>2.83</v>
      </c>
      <c r="D27" s="143">
        <v>0</v>
      </c>
      <c r="E27" s="116">
        <f t="shared" si="1"/>
        <v>5.66</v>
      </c>
      <c r="F27" s="833">
        <f>'1461'!F27:G27</f>
        <v>1.1919999999999999</v>
      </c>
      <c r="G27" s="833"/>
      <c r="H27" s="80">
        <f t="shared" si="2"/>
        <v>6.7466999999999997</v>
      </c>
      <c r="I27" s="101">
        <f t="shared" si="3"/>
        <v>37433.96</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195.01000000000002</v>
      </c>
      <c r="D30" s="94">
        <f>SUM(D14:D29)</f>
        <v>0</v>
      </c>
      <c r="E30" s="94">
        <f>SUM(E14:E29)</f>
        <v>390.02000000000004</v>
      </c>
      <c r="F30" s="792"/>
      <c r="G30" s="792"/>
      <c r="H30" s="99">
        <f>SUM(H14:H29)</f>
        <v>423.39889999999997</v>
      </c>
      <c r="I30" s="94">
        <f>SUM(I14:I29)</f>
        <v>2349222.0100000002</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423.39889999999997</v>
      </c>
      <c r="F46" s="34"/>
      <c r="G46" s="106"/>
      <c r="H46" s="107" t="s">
        <v>98</v>
      </c>
      <c r="I46" s="94">
        <f>SUM(I44,I30)</f>
        <v>2349222.0100000002</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2243858.5099999998</v>
      </c>
      <c r="G51" s="109" t="s">
        <v>6</v>
      </c>
      <c r="H51" s="453">
        <v>5.5899999999999998E-2</v>
      </c>
      <c r="I51" s="101">
        <f>ROUND(F51*H51,2)</f>
        <v>125431.69</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2243858.5099999998</v>
      </c>
      <c r="G52" s="109" t="s">
        <v>6</v>
      </c>
      <c r="H52" s="453">
        <v>1.0699999999999999E-2</v>
      </c>
      <c r="I52" s="101">
        <f>ROUND(F52*H52,2)</f>
        <v>24009.29</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149440.98000000001</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16.5</v>
      </c>
      <c r="D57" s="143">
        <v>0</v>
      </c>
      <c r="E57" s="116">
        <f t="shared" ref="E57:E65" si="10">IF(D$66=0,C57*2,C57+D57)</f>
        <v>33</v>
      </c>
      <c r="F57" s="494" t="s">
        <v>498</v>
      </c>
      <c r="G57" s="494">
        <v>251</v>
      </c>
      <c r="H57" s="508">
        <f>'1461'!H57</f>
        <v>1047</v>
      </c>
      <c r="I57" s="101">
        <f>ROUND(E57*H57,2)</f>
        <v>34551</v>
      </c>
      <c r="N57" s="848" t="s">
        <v>506</v>
      </c>
      <c r="O57" s="848"/>
      <c r="P57" s="850"/>
      <c r="Q57" s="850"/>
      <c r="R57" s="500" t="s">
        <v>498</v>
      </c>
      <c r="S57" s="500">
        <v>251</v>
      </c>
      <c r="T57" s="511">
        <f>H57</f>
        <v>1047</v>
      </c>
      <c r="U57" s="525">
        <f>ROUND(P57*T57,2)</f>
        <v>0</v>
      </c>
      <c r="V57" s="475"/>
    </row>
    <row r="58" spans="1:22" x14ac:dyDescent="0.25">
      <c r="A58" s="799"/>
      <c r="B58" s="799"/>
      <c r="C58" s="143">
        <v>1.5</v>
      </c>
      <c r="D58" s="143">
        <v>0</v>
      </c>
      <c r="E58" s="116">
        <f t="shared" si="10"/>
        <v>3</v>
      </c>
      <c r="F58" s="494" t="s">
        <v>498</v>
      </c>
      <c r="G58" s="494">
        <v>252</v>
      </c>
      <c r="H58" s="508">
        <f>'1461'!H58</f>
        <v>3380</v>
      </c>
      <c r="I58" s="101">
        <f t="shared" ref="I58:I65" si="11">ROUND(E58*H58,2)</f>
        <v>10140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14</v>
      </c>
      <c r="D60" s="143">
        <v>0</v>
      </c>
      <c r="E60" s="116">
        <f t="shared" si="10"/>
        <v>28</v>
      </c>
      <c r="F60" s="495" t="s">
        <v>13</v>
      </c>
      <c r="G60" s="494">
        <v>251</v>
      </c>
      <c r="H60" s="508">
        <f>'1461'!H60</f>
        <v>1173</v>
      </c>
      <c r="I60" s="101">
        <f t="shared" si="11"/>
        <v>32844</v>
      </c>
      <c r="N60" s="849"/>
      <c r="O60" s="849"/>
      <c r="P60" s="851"/>
      <c r="Q60" s="851"/>
      <c r="R60" s="40" t="s">
        <v>13</v>
      </c>
      <c r="S60" s="500">
        <v>251</v>
      </c>
      <c r="T60" s="511">
        <f t="shared" si="12"/>
        <v>1173</v>
      </c>
      <c r="U60" s="525">
        <f t="shared" si="13"/>
        <v>0</v>
      </c>
      <c r="V60" s="475"/>
    </row>
    <row r="61" spans="1:22" x14ac:dyDescent="0.25">
      <c r="A61" s="799"/>
      <c r="B61" s="799"/>
      <c r="C61" s="143">
        <v>1</v>
      </c>
      <c r="D61" s="143">
        <v>0</v>
      </c>
      <c r="E61" s="116">
        <f t="shared" si="10"/>
        <v>2</v>
      </c>
      <c r="F61" s="495" t="s">
        <v>13</v>
      </c>
      <c r="G61" s="494">
        <v>252</v>
      </c>
      <c r="H61" s="508">
        <f>'1461'!H61</f>
        <v>3506</v>
      </c>
      <c r="I61" s="101">
        <f t="shared" si="11"/>
        <v>7012</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33</v>
      </c>
      <c r="D66" s="97">
        <f>SUM(D57:D65)</f>
        <v>0</v>
      </c>
      <c r="E66" s="97">
        <f>SUM(E57:E65)</f>
        <v>66</v>
      </c>
      <c r="F66" s="800" t="s">
        <v>507</v>
      </c>
      <c r="G66" s="800"/>
      <c r="H66" s="800"/>
      <c r="I66" s="97">
        <f>SUM(I57:I65)</f>
        <v>84547</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390.02000000000004</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1.8489999999999999E-3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423.39889999999997</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1.7819999999999999E-3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390.02000000000004</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2.088E-3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390.02000000000004</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1.8519999999999999E-3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390.02000000000004</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2.091E-3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1.8519999999999999E-3</v>
      </c>
      <c r="I85" s="101">
        <f>ROUND(F85*H85,2)</f>
        <v>85750.78</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1.8489999999999999E-3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2.091E-3</v>
      </c>
      <c r="I90" s="101">
        <f>ROUND(F90*H90,2)</f>
        <v>39992.239999999998</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2.088E-3</v>
      </c>
      <c r="I92" s="101">
        <f t="shared" ref="I92:I96" si="14">ROUND(F92*H92,2)</f>
        <v>24035.73</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1.7819999999999999E-3</v>
      </c>
      <c r="I94" s="101">
        <f t="shared" si="14"/>
        <v>455758.65</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1.7819999999999999E-3</v>
      </c>
      <c r="I96" s="101">
        <f t="shared" si="14"/>
        <v>-27521.31</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1.8489999999999999E-3</v>
      </c>
      <c r="I98" s="101">
        <f t="shared" ref="I98" si="16">ROUND(F98*H98,2)</f>
        <v>10394.01</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291.29219999999998</v>
      </c>
      <c r="D104" s="806"/>
      <c r="E104" s="46">
        <f>H8</f>
        <v>1.0407999999999999</v>
      </c>
      <c r="F104" s="302">
        <f>'1461'!F104</f>
        <v>950.92</v>
      </c>
      <c r="G104" s="39" t="s">
        <v>12</v>
      </c>
      <c r="H104" s="101">
        <f>ROUND(C104*E104*F104,2)</f>
        <v>288297</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132.10669999999999</v>
      </c>
      <c r="D105" s="806"/>
      <c r="E105" s="46">
        <f>H8</f>
        <v>1.0407999999999999</v>
      </c>
      <c r="F105" s="302">
        <f>'1461'!F105</f>
        <v>907.92</v>
      </c>
      <c r="G105" s="39" t="s">
        <v>12</v>
      </c>
      <c r="H105" s="101">
        <f>ROUND(C105*E105*F105,2)</f>
        <v>124835.96</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423.39889999999997</v>
      </c>
      <c r="D107" s="796"/>
      <c r="E107" s="123"/>
      <c r="F107" s="123"/>
      <c r="G107" s="123"/>
      <c r="H107" s="124" t="s">
        <v>100</v>
      </c>
      <c r="I107" s="101">
        <f>IF(A1=75,0,H106+H105+H104)</f>
        <v>413132.96</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3435312.07</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3285871.09</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3285871.09</v>
      </c>
      <c r="I135" s="94">
        <f>ROUND(IF(E30=0,0,IF(E30&gt;250,-(((250/E30)*H135)*IF(G135="H",0.02,0.05)),IF(G135="H",-0.02*H135,-0.05*H135))),2)</f>
        <v>-42124.39</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3393187.6799999997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Payments'!Q91</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3393187.6799999997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282765.64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23593.03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123</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187.9</v>
      </c>
      <c r="D18" s="143">
        <v>0</v>
      </c>
      <c r="E18" s="116">
        <f t="shared" si="1"/>
        <v>375.8</v>
      </c>
      <c r="F18" s="833">
        <f>'1461'!F18:G18</f>
        <v>0.97799999999999998</v>
      </c>
      <c r="G18" s="833"/>
      <c r="H18" s="80">
        <f t="shared" si="2"/>
        <v>367.5324</v>
      </c>
      <c r="I18" s="101">
        <f t="shared" si="3"/>
        <v>2039247.64</v>
      </c>
      <c r="N18" s="834" t="s">
        <v>24</v>
      </c>
      <c r="O18" s="834"/>
      <c r="P18" s="831">
        <f t="shared" si="0"/>
        <v>0</v>
      </c>
      <c r="Q18" s="831"/>
      <c r="R18" s="835">
        <v>1</v>
      </c>
      <c r="S18" s="835"/>
      <c r="T18" s="95">
        <f t="shared" si="4"/>
        <v>0</v>
      </c>
      <c r="U18" s="524">
        <f t="shared" si="5"/>
        <v>0</v>
      </c>
    </row>
    <row r="19" spans="1:21" x14ac:dyDescent="0.25">
      <c r="A19" s="788" t="s">
        <v>25</v>
      </c>
      <c r="B19" s="788"/>
      <c r="C19" s="143">
        <v>44.34</v>
      </c>
      <c r="D19" s="143">
        <v>0</v>
      </c>
      <c r="E19" s="116">
        <f t="shared" si="1"/>
        <v>88.68</v>
      </c>
      <c r="F19" s="833">
        <f>'1461'!F19:G19</f>
        <v>0.97799999999999998</v>
      </c>
      <c r="G19" s="833"/>
      <c r="H19" s="80">
        <f t="shared" si="2"/>
        <v>86.728999999999999</v>
      </c>
      <c r="I19" s="101">
        <f t="shared" si="3"/>
        <v>481214.47</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4.45</v>
      </c>
      <c r="D28" s="143">
        <v>0</v>
      </c>
      <c r="E28" s="116">
        <f t="shared" si="1"/>
        <v>8.9</v>
      </c>
      <c r="F28" s="833">
        <f>'1461'!F28:G28</f>
        <v>1.1919999999999999</v>
      </c>
      <c r="G28" s="833"/>
      <c r="H28" s="80">
        <f t="shared" si="2"/>
        <v>10.6088</v>
      </c>
      <c r="I28" s="101">
        <f t="shared" si="3"/>
        <v>58862.76</v>
      </c>
      <c r="N28" s="834" t="s">
        <v>87</v>
      </c>
      <c r="O28" s="834"/>
      <c r="P28" s="831">
        <f t="shared" si="0"/>
        <v>0</v>
      </c>
      <c r="Q28" s="831"/>
      <c r="R28" s="835">
        <v>1</v>
      </c>
      <c r="S28" s="835"/>
      <c r="T28" s="95">
        <f t="shared" si="4"/>
        <v>0</v>
      </c>
      <c r="U28" s="524">
        <f t="shared" si="5"/>
        <v>0</v>
      </c>
    </row>
    <row r="29" spans="1:21" x14ac:dyDescent="0.25">
      <c r="A29" s="788" t="s">
        <v>88</v>
      </c>
      <c r="B29" s="788"/>
      <c r="C29" s="110">
        <v>2.9</v>
      </c>
      <c r="D29" s="110">
        <v>0</v>
      </c>
      <c r="E29" s="154">
        <f t="shared" si="1"/>
        <v>5.8</v>
      </c>
      <c r="F29" s="833">
        <f>'1461'!F29:G29</f>
        <v>1.079</v>
      </c>
      <c r="G29" s="833"/>
      <c r="H29" s="93">
        <f t="shared" si="2"/>
        <v>6.2582000000000004</v>
      </c>
      <c r="I29" s="94">
        <f t="shared" si="3"/>
        <v>34723.519999999997</v>
      </c>
      <c r="N29" s="836" t="s">
        <v>88</v>
      </c>
      <c r="O29" s="836"/>
      <c r="P29" s="831">
        <f t="shared" si="0"/>
        <v>0</v>
      </c>
      <c r="Q29" s="831"/>
      <c r="R29" s="837">
        <v>1</v>
      </c>
      <c r="S29" s="837"/>
      <c r="T29" s="95">
        <f t="shared" si="4"/>
        <v>0</v>
      </c>
      <c r="U29" s="524">
        <f t="shared" si="5"/>
        <v>0</v>
      </c>
    </row>
    <row r="30" spans="1:21" x14ac:dyDescent="0.25">
      <c r="A30" s="800" t="s">
        <v>5</v>
      </c>
      <c r="B30" s="800"/>
      <c r="C30" s="94">
        <f>SUM(C14:C29)</f>
        <v>239.59</v>
      </c>
      <c r="D30" s="94">
        <f>SUM(D14:D29)</f>
        <v>0</v>
      </c>
      <c r="E30" s="94">
        <f>SUM(E14:E29)</f>
        <v>479.18</v>
      </c>
      <c r="F30" s="792"/>
      <c r="G30" s="792"/>
      <c r="H30" s="99">
        <f>SUM(H14:H29)</f>
        <v>471.12839999999994</v>
      </c>
      <c r="I30" s="94">
        <f>SUM(I14:I29)</f>
        <v>2614048.3899999997</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471.12839999999994</v>
      </c>
      <c r="F46" s="34"/>
      <c r="G46" s="106"/>
      <c r="H46" s="107" t="s">
        <v>98</v>
      </c>
      <c r="I46" s="94">
        <f>SUM(I44,I30)</f>
        <v>2614048.3899999997</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2233709.7999999998</v>
      </c>
      <c r="G51" s="109" t="s">
        <v>6</v>
      </c>
      <c r="H51" s="453">
        <v>5.5899999999999998E-2</v>
      </c>
      <c r="I51" s="101">
        <f>ROUND(F51*H51,2)</f>
        <v>124864.38</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2233709.7999999998</v>
      </c>
      <c r="G52" s="109" t="s">
        <v>6</v>
      </c>
      <c r="H52" s="453">
        <v>1.0699999999999999E-2</v>
      </c>
      <c r="I52" s="101">
        <f>ROUND(F52*H52,2)</f>
        <v>23900.69</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148765.07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39.83</v>
      </c>
      <c r="D63" s="143">
        <v>0</v>
      </c>
      <c r="E63" s="116">
        <f t="shared" si="10"/>
        <v>79.66</v>
      </c>
      <c r="F63" s="495" t="s">
        <v>14</v>
      </c>
      <c r="G63" s="494">
        <v>251</v>
      </c>
      <c r="H63" s="508">
        <f>'1461'!H63</f>
        <v>835</v>
      </c>
      <c r="I63" s="101">
        <f t="shared" si="11"/>
        <v>66516.100000000006</v>
      </c>
      <c r="N63" s="849"/>
      <c r="O63" s="849"/>
      <c r="P63" s="851"/>
      <c r="Q63" s="851"/>
      <c r="R63" s="40" t="s">
        <v>14</v>
      </c>
      <c r="S63" s="500">
        <v>251</v>
      </c>
      <c r="T63" s="511">
        <f t="shared" si="12"/>
        <v>835</v>
      </c>
      <c r="U63" s="525">
        <f t="shared" si="13"/>
        <v>0</v>
      </c>
      <c r="V63" s="475"/>
    </row>
    <row r="64" spans="1:22" x14ac:dyDescent="0.25">
      <c r="A64" s="799"/>
      <c r="B64" s="799"/>
      <c r="C64" s="143">
        <v>4.01</v>
      </c>
      <c r="D64" s="143">
        <v>0</v>
      </c>
      <c r="E64" s="116">
        <f t="shared" si="10"/>
        <v>8.02</v>
      </c>
      <c r="F64" s="495" t="s">
        <v>14</v>
      </c>
      <c r="G64" s="494">
        <v>252</v>
      </c>
      <c r="H64" s="508">
        <f>'1461'!H64</f>
        <v>3168</v>
      </c>
      <c r="I64" s="101">
        <f t="shared" si="11"/>
        <v>25407.360000000001</v>
      </c>
      <c r="N64" s="849"/>
      <c r="O64" s="849"/>
      <c r="P64" s="851"/>
      <c r="Q64" s="851"/>
      <c r="R64" s="40" t="s">
        <v>14</v>
      </c>
      <c r="S64" s="500">
        <v>252</v>
      </c>
      <c r="T64" s="511">
        <f t="shared" si="12"/>
        <v>3168</v>
      </c>
      <c r="U64" s="525">
        <f t="shared" si="13"/>
        <v>0</v>
      </c>
      <c r="V64" s="475"/>
    </row>
    <row r="65" spans="1:22" ht="16.5" thickBot="1" x14ac:dyDescent="0.3">
      <c r="A65" s="799"/>
      <c r="B65" s="799"/>
      <c r="C65" s="143">
        <v>0.5</v>
      </c>
      <c r="D65" s="143">
        <v>0</v>
      </c>
      <c r="E65" s="116">
        <f t="shared" si="10"/>
        <v>1</v>
      </c>
      <c r="F65" s="495" t="s">
        <v>14</v>
      </c>
      <c r="G65" s="494">
        <v>253</v>
      </c>
      <c r="H65" s="508">
        <f>'1461'!H65</f>
        <v>6685</v>
      </c>
      <c r="I65" s="101">
        <f t="shared" si="11"/>
        <v>6685</v>
      </c>
      <c r="N65" s="849"/>
      <c r="O65" s="849"/>
      <c r="P65" s="857"/>
      <c r="Q65" s="857"/>
      <c r="R65" s="40" t="s">
        <v>14</v>
      </c>
      <c r="S65" s="500">
        <v>253</v>
      </c>
      <c r="T65" s="511">
        <f t="shared" si="12"/>
        <v>6685</v>
      </c>
      <c r="U65" s="526">
        <f t="shared" si="13"/>
        <v>0</v>
      </c>
      <c r="V65" s="475"/>
    </row>
    <row r="66" spans="1:22" ht="16.5" thickBot="1" x14ac:dyDescent="0.3">
      <c r="A66" s="491"/>
      <c r="C66" s="97">
        <f>SUM(C57:C65)</f>
        <v>44.339999999999996</v>
      </c>
      <c r="D66" s="97">
        <f>SUM(D57:D65)</f>
        <v>0</v>
      </c>
      <c r="E66" s="97">
        <f>SUM(E57:E65)</f>
        <v>88.679999999999993</v>
      </c>
      <c r="F66" s="800" t="s">
        <v>507</v>
      </c>
      <c r="G66" s="800"/>
      <c r="H66" s="800"/>
      <c r="I66" s="97">
        <f>SUM(I57:I65)</f>
        <v>98608.46</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479.18</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2.2720000000000001E-3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471.12839999999994</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1.983E-3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479.18</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2.565E-3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479.18</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2.2750000000000001E-3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479.18</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2.5690000000000001E-3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2.2750000000000001E-3</v>
      </c>
      <c r="I85" s="101">
        <f>ROUND(F85*H85,2)</f>
        <v>105336.41</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2.2720000000000001E-3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2.5690000000000001E-3</v>
      </c>
      <c r="I90" s="101">
        <f>ROUND(F90*H90,2)</f>
        <v>49134.41</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2.565E-3</v>
      </c>
      <c r="I92" s="101">
        <f t="shared" ref="I92:I96" si="14">ROUND(F92*H92,2)</f>
        <v>29526.65</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1.983E-3</v>
      </c>
      <c r="I94" s="101">
        <f t="shared" si="14"/>
        <v>507165.77</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1.983E-3</v>
      </c>
      <c r="I96" s="101">
        <f t="shared" si="14"/>
        <v>-30625.56</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2.2720000000000001E-3</v>
      </c>
      <c r="I98" s="101">
        <f t="shared" ref="I98" si="16">ROUND(F98*H98,2)</f>
        <v>12771.88</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471.12839999999994</v>
      </c>
      <c r="D106" s="806"/>
      <c r="E106" s="46">
        <f>H8</f>
        <v>1.0407999999999999</v>
      </c>
      <c r="F106" s="302">
        <f>'1461'!F106</f>
        <v>910.12</v>
      </c>
      <c r="G106" s="39" t="s">
        <v>12</v>
      </c>
      <c r="H106" s="94">
        <f>ROUND(C106*E106*F106,2)</f>
        <v>446277.74</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471.12839999999994</v>
      </c>
      <c r="D107" s="796"/>
      <c r="E107" s="123"/>
      <c r="F107" s="123"/>
      <c r="G107" s="123"/>
      <c r="H107" s="124" t="s">
        <v>100</v>
      </c>
      <c r="I107" s="101">
        <f>IF(A1=75,0,H106+H105+H104)</f>
        <v>446277.74</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149</v>
      </c>
      <c r="D113" s="143">
        <v>0</v>
      </c>
      <c r="E113" s="116">
        <f>C113</f>
        <v>149</v>
      </c>
      <c r="F113" s="126" t="s">
        <v>30</v>
      </c>
      <c r="G113" s="303">
        <f>'1461'!G113</f>
        <v>607</v>
      </c>
      <c r="I113" s="101">
        <f>ROUND(G113*E113,2)</f>
        <v>90443</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3922687.1499999994</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3773922.0799999996</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3773922.0799999996</v>
      </c>
      <c r="I135" s="94">
        <f>ROUND(IF(E30=0,0,IF(E30&gt;250,-(((250/E30)*H135)*IF(G135="H",0.02,0.05)),IF(G135="H",-0.02*H135,-0.05*H135))),2)</f>
        <v>-98447.4</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3824239.7499999995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Payments'!Q92</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3824239.7499999995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318686.65000000002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90248.7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124</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182.6</v>
      </c>
      <c r="D14" s="141">
        <v>0</v>
      </c>
      <c r="E14" s="187">
        <f>IF(D$30=0,C14*2,C14+D14)</f>
        <v>365.2</v>
      </c>
      <c r="F14" s="829">
        <f>'1461'!F14:G14</f>
        <v>1.1180000000000001</v>
      </c>
      <c r="G14" s="829"/>
      <c r="H14" s="145">
        <f>ROUND(E14*F14,4)</f>
        <v>408.29360000000003</v>
      </c>
      <c r="I14" s="111">
        <f>ROUND(ROUND(ROUND(H14*$C$8,4)*($H$8),2)*(MAX($H$9,1)),2)</f>
        <v>2265410.5</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28.5</v>
      </c>
      <c r="D15" s="143">
        <v>0</v>
      </c>
      <c r="E15" s="116">
        <f t="shared" ref="E15:E29" si="1">IF(D$30=0,C15*2,C15+D15)</f>
        <v>57</v>
      </c>
      <c r="F15" s="833">
        <f>'1461'!F15:G15</f>
        <v>1.1180000000000001</v>
      </c>
      <c r="G15" s="833"/>
      <c r="H15" s="80">
        <f t="shared" ref="H15:H29" si="2">ROUND(E15*F15,4)</f>
        <v>63.725999999999999</v>
      </c>
      <c r="I15" s="101">
        <f t="shared" ref="I15:I29" si="3">ROUND(ROUND(ROUND(H15*$C$8,4)*($H$8),2)*(MAX($H$9,1)),2)</f>
        <v>353582.69</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218.4</v>
      </c>
      <c r="D16" s="143">
        <v>0</v>
      </c>
      <c r="E16" s="116">
        <f t="shared" si="1"/>
        <v>436.8</v>
      </c>
      <c r="F16" s="833">
        <f>'1461'!F16:G16</f>
        <v>1</v>
      </c>
      <c r="G16" s="833"/>
      <c r="H16" s="80">
        <f t="shared" si="2"/>
        <v>436.8</v>
      </c>
      <c r="I16" s="101">
        <f t="shared" si="3"/>
        <v>2423577.7999999998</v>
      </c>
      <c r="N16" s="834" t="s">
        <v>22</v>
      </c>
      <c r="O16" s="834"/>
      <c r="P16" s="831">
        <f t="shared" si="0"/>
        <v>0</v>
      </c>
      <c r="Q16" s="831"/>
      <c r="R16" s="835">
        <v>1</v>
      </c>
      <c r="S16" s="835"/>
      <c r="T16" s="95">
        <f t="shared" si="4"/>
        <v>0</v>
      </c>
      <c r="U16" s="524">
        <f t="shared" si="5"/>
        <v>0</v>
      </c>
    </row>
    <row r="17" spans="1:21" x14ac:dyDescent="0.25">
      <c r="A17" s="788" t="s">
        <v>23</v>
      </c>
      <c r="B17" s="788"/>
      <c r="C17" s="143">
        <v>33.5</v>
      </c>
      <c r="D17" s="143">
        <v>0</v>
      </c>
      <c r="E17" s="116">
        <f t="shared" si="1"/>
        <v>67</v>
      </c>
      <c r="F17" s="833">
        <f>'1461'!F17:G17</f>
        <v>1</v>
      </c>
      <c r="G17" s="833"/>
      <c r="H17" s="80">
        <f t="shared" si="2"/>
        <v>67</v>
      </c>
      <c r="I17" s="101">
        <f t="shared" si="3"/>
        <v>371748.43</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34.4</v>
      </c>
      <c r="D26" s="143">
        <v>0</v>
      </c>
      <c r="E26" s="116">
        <f t="shared" si="1"/>
        <v>68.8</v>
      </c>
      <c r="F26" s="833">
        <f>'1461'!F26:G26</f>
        <v>1.1919999999999999</v>
      </c>
      <c r="G26" s="833"/>
      <c r="H26" s="80">
        <f t="shared" si="2"/>
        <v>82.009600000000006</v>
      </c>
      <c r="I26" s="101">
        <f t="shared" si="3"/>
        <v>455028.95</v>
      </c>
      <c r="N26" s="834" t="s">
        <v>85</v>
      </c>
      <c r="O26" s="834"/>
      <c r="P26" s="831">
        <f t="shared" si="0"/>
        <v>0</v>
      </c>
      <c r="Q26" s="831"/>
      <c r="R26" s="835">
        <v>1</v>
      </c>
      <c r="S26" s="835"/>
      <c r="T26" s="95">
        <f t="shared" si="4"/>
        <v>0</v>
      </c>
      <c r="U26" s="524">
        <f t="shared" si="5"/>
        <v>0</v>
      </c>
    </row>
    <row r="27" spans="1:21" x14ac:dyDescent="0.25">
      <c r="A27" s="788" t="s">
        <v>86</v>
      </c>
      <c r="B27" s="788"/>
      <c r="C27" s="143">
        <v>9.5399999999999991</v>
      </c>
      <c r="D27" s="143">
        <v>0</v>
      </c>
      <c r="E27" s="116">
        <f t="shared" si="1"/>
        <v>19.079999999999998</v>
      </c>
      <c r="F27" s="833">
        <f>'1461'!F27:G27</f>
        <v>1.1919999999999999</v>
      </c>
      <c r="G27" s="833"/>
      <c r="H27" s="80">
        <f t="shared" si="2"/>
        <v>22.743400000000001</v>
      </c>
      <c r="I27" s="101">
        <f t="shared" si="3"/>
        <v>126191.39</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506.94</v>
      </c>
      <c r="D30" s="94">
        <f>SUM(D14:D29)</f>
        <v>0</v>
      </c>
      <c r="E30" s="94">
        <f>SUM(E14:E29)</f>
        <v>1013.88</v>
      </c>
      <c r="F30" s="792"/>
      <c r="G30" s="792"/>
      <c r="H30" s="99">
        <f>SUM(H14:H29)</f>
        <v>1080.5726000000002</v>
      </c>
      <c r="I30" s="94">
        <f>SUM(I14:I29)</f>
        <v>5995539.7599999998</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1080.5726000000002</v>
      </c>
      <c r="F46" s="34"/>
      <c r="G46" s="106"/>
      <c r="H46" s="107" t="s">
        <v>98</v>
      </c>
      <c r="I46" s="94">
        <f>SUM(I44,I30)</f>
        <v>5995539.7599999998</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5801835.5199999996</v>
      </c>
      <c r="G51" s="109" t="s">
        <v>6</v>
      </c>
      <c r="H51" s="453">
        <v>5.5899999999999998E-2</v>
      </c>
      <c r="I51" s="101">
        <f>ROUND(F51*H51,2)</f>
        <v>324322.61</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5801835.5199999996</v>
      </c>
      <c r="G52" s="109" t="s">
        <v>6</v>
      </c>
      <c r="H52" s="453">
        <v>1.0699999999999999E-2</v>
      </c>
      <c r="I52" s="101">
        <f>ROUND(F52*H52,2)</f>
        <v>62079.64</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386402.25</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24.5</v>
      </c>
      <c r="D57" s="143">
        <v>0</v>
      </c>
      <c r="E57" s="116">
        <f t="shared" ref="E57:E65" si="10">IF(D$66=0,C57*2,C57+D57)</f>
        <v>49</v>
      </c>
      <c r="F57" s="494" t="s">
        <v>498</v>
      </c>
      <c r="G57" s="494">
        <v>251</v>
      </c>
      <c r="H57" s="508">
        <f>'1461'!H57</f>
        <v>1047</v>
      </c>
      <c r="I57" s="101">
        <f>ROUND(E57*H57,2)</f>
        <v>51303</v>
      </c>
      <c r="N57" s="848" t="s">
        <v>506</v>
      </c>
      <c r="O57" s="848"/>
      <c r="P57" s="850"/>
      <c r="Q57" s="850"/>
      <c r="R57" s="500" t="s">
        <v>498</v>
      </c>
      <c r="S57" s="500">
        <v>251</v>
      </c>
      <c r="T57" s="511">
        <f>H57</f>
        <v>1047</v>
      </c>
      <c r="U57" s="525">
        <f>ROUND(P57*T57,2)</f>
        <v>0</v>
      </c>
      <c r="V57" s="475"/>
    </row>
    <row r="58" spans="1:22" x14ac:dyDescent="0.25">
      <c r="A58" s="799"/>
      <c r="B58" s="799"/>
      <c r="C58" s="143">
        <v>3.5</v>
      </c>
      <c r="D58" s="143">
        <v>0</v>
      </c>
      <c r="E58" s="116">
        <f t="shared" si="10"/>
        <v>7</v>
      </c>
      <c r="F58" s="494" t="s">
        <v>498</v>
      </c>
      <c r="G58" s="494">
        <v>252</v>
      </c>
      <c r="H58" s="508">
        <f>'1461'!H58</f>
        <v>3380</v>
      </c>
      <c r="I58" s="101">
        <f t="shared" ref="I58:I65" si="11">ROUND(E58*H58,2)</f>
        <v>23660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0.5</v>
      </c>
      <c r="D59" s="143">
        <v>0</v>
      </c>
      <c r="E59" s="116">
        <f t="shared" si="10"/>
        <v>1</v>
      </c>
      <c r="F59" s="494" t="s">
        <v>498</v>
      </c>
      <c r="G59" s="494">
        <v>253</v>
      </c>
      <c r="H59" s="508">
        <f>'1461'!H59</f>
        <v>6896</v>
      </c>
      <c r="I59" s="101">
        <f t="shared" si="11"/>
        <v>6896</v>
      </c>
      <c r="N59" s="849"/>
      <c r="O59" s="849"/>
      <c r="P59" s="851"/>
      <c r="Q59" s="851"/>
      <c r="R59" s="500" t="s">
        <v>498</v>
      </c>
      <c r="S59" s="500">
        <v>253</v>
      </c>
      <c r="T59" s="511">
        <f t="shared" si="12"/>
        <v>6896</v>
      </c>
      <c r="U59" s="525">
        <f t="shared" si="13"/>
        <v>0</v>
      </c>
      <c r="V59" s="475"/>
    </row>
    <row r="60" spans="1:22" x14ac:dyDescent="0.25">
      <c r="A60" s="799"/>
      <c r="B60" s="799"/>
      <c r="C60" s="143">
        <v>27</v>
      </c>
      <c r="D60" s="143">
        <v>0</v>
      </c>
      <c r="E60" s="116">
        <f t="shared" si="10"/>
        <v>54</v>
      </c>
      <c r="F60" s="495" t="s">
        <v>13</v>
      </c>
      <c r="G60" s="494">
        <v>251</v>
      </c>
      <c r="H60" s="508">
        <f>'1461'!H60</f>
        <v>1173</v>
      </c>
      <c r="I60" s="101">
        <f t="shared" si="11"/>
        <v>63342</v>
      </c>
      <c r="N60" s="849"/>
      <c r="O60" s="849"/>
      <c r="P60" s="851"/>
      <c r="Q60" s="851"/>
      <c r="R60" s="40" t="s">
        <v>13</v>
      </c>
      <c r="S60" s="500">
        <v>251</v>
      </c>
      <c r="T60" s="511">
        <f t="shared" si="12"/>
        <v>1173</v>
      </c>
      <c r="U60" s="525">
        <f t="shared" si="13"/>
        <v>0</v>
      </c>
      <c r="V60" s="475"/>
    </row>
    <row r="61" spans="1:22" x14ac:dyDescent="0.25">
      <c r="A61" s="799"/>
      <c r="B61" s="799"/>
      <c r="C61" s="143">
        <v>6.5</v>
      </c>
      <c r="D61" s="143">
        <v>0</v>
      </c>
      <c r="E61" s="116">
        <f t="shared" si="10"/>
        <v>13</v>
      </c>
      <c r="F61" s="495" t="s">
        <v>13</v>
      </c>
      <c r="G61" s="494">
        <v>252</v>
      </c>
      <c r="H61" s="508">
        <f>'1461'!H61</f>
        <v>3506</v>
      </c>
      <c r="I61" s="101">
        <f t="shared" si="11"/>
        <v>45578</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62</v>
      </c>
      <c r="D66" s="97">
        <f>SUM(D57:D65)</f>
        <v>0</v>
      </c>
      <c r="E66" s="97">
        <f>SUM(E57:E65)</f>
        <v>124</v>
      </c>
      <c r="F66" s="800" t="s">
        <v>507</v>
      </c>
      <c r="G66" s="800"/>
      <c r="H66" s="800"/>
      <c r="I66" s="97">
        <f>SUM(I57:I65)</f>
        <v>190779</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1013.88</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4.8069999999999996E-3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1080.5726000000002</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4.548E-3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1013.88</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5.4270000000000004E-3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1013.88</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4.8139999999999997E-3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1013.88</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5.4359999999999999E-3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4.8139999999999997E-3</v>
      </c>
      <c r="I85" s="101">
        <f>ROUND(F85*H85,2)</f>
        <v>222896.47</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4.8069999999999996E-3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5.4359999999999999E-3</v>
      </c>
      <c r="I90" s="101">
        <f>ROUND(F90*H90,2)</f>
        <v>103968.34</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5.4270000000000004E-3</v>
      </c>
      <c r="I92" s="101">
        <f t="shared" ref="I92:I96" si="14">ROUND(F92*H92,2)</f>
        <v>62472.17</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4.548E-3</v>
      </c>
      <c r="I94" s="101">
        <f t="shared" si="14"/>
        <v>1163182</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4.548E-3</v>
      </c>
      <c r="I96" s="101">
        <f t="shared" si="14"/>
        <v>-70239.56</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4.8069999999999996E-3</v>
      </c>
      <c r="I98" s="101">
        <f t="shared" ref="I98" si="16">ROUND(F98*H98,2)</f>
        <v>27022.19</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554.02920000000006</v>
      </c>
      <c r="D104" s="806"/>
      <c r="E104" s="46">
        <f>H8</f>
        <v>1.0407999999999999</v>
      </c>
      <c r="F104" s="302">
        <f>'1461'!F104</f>
        <v>950.92</v>
      </c>
      <c r="G104" s="39" t="s">
        <v>12</v>
      </c>
      <c r="H104" s="101">
        <f>ROUND(C104*E104*F104,2)</f>
        <v>548332.41</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526.54340000000002</v>
      </c>
      <c r="D105" s="806"/>
      <c r="E105" s="46">
        <f>H8</f>
        <v>1.0407999999999999</v>
      </c>
      <c r="F105" s="302">
        <f>'1461'!F105</f>
        <v>907.92</v>
      </c>
      <c r="G105" s="39" t="s">
        <v>12</v>
      </c>
      <c r="H105" s="101">
        <f>ROUND(C105*E105*F105,2)</f>
        <v>497564.1</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1080.5726</v>
      </c>
      <c r="D107" s="796"/>
      <c r="E107" s="123"/>
      <c r="F107" s="123"/>
      <c r="G107" s="123"/>
      <c r="H107" s="124" t="s">
        <v>100</v>
      </c>
      <c r="I107" s="101">
        <f>IF(A1=75,0,H106+H105+H104)</f>
        <v>1045896.51</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45</v>
      </c>
      <c r="D113" s="143">
        <v>0</v>
      </c>
      <c r="E113" s="116">
        <f>C113</f>
        <v>45</v>
      </c>
      <c r="F113" s="126" t="s">
        <v>30</v>
      </c>
      <c r="G113" s="303">
        <f>'1461'!G113</f>
        <v>607</v>
      </c>
      <c r="I113" s="101">
        <f>ROUND(G113*E113,2)</f>
        <v>27315</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8768831.8800000008</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8382429.6300000008</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8382429.6300000008</v>
      </c>
      <c r="I135" s="94">
        <f>ROUND(IF(E30=0,0,IF(E30&gt;250,-(((250/E30)*H135)*IF(G135="H",0.02,0.05)),IF(G135="H",-0.02*H135,-0.05*H135))),2)</f>
        <v>-41338.370000000003</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8727493.5100000016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Payments'!Q93</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8727493.5100000016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727291.13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126310.22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285" t="s">
        <v>125</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J11" s="255"/>
      <c r="K11" s="254"/>
      <c r="L11" s="254"/>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J12" s="253"/>
      <c r="K12" s="254"/>
      <c r="L12" s="254"/>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K13" s="254"/>
      <c r="L13" s="254"/>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226.6</v>
      </c>
      <c r="D16" s="143">
        <v>0</v>
      </c>
      <c r="E16" s="116">
        <f t="shared" si="1"/>
        <v>453.2</v>
      </c>
      <c r="F16" s="833">
        <f>'1461'!F16:G16</f>
        <v>1</v>
      </c>
      <c r="G16" s="833"/>
      <c r="H16" s="80">
        <f t="shared" si="2"/>
        <v>453.2</v>
      </c>
      <c r="I16" s="101">
        <f t="shared" si="3"/>
        <v>2514572.94</v>
      </c>
      <c r="N16" s="834" t="s">
        <v>22</v>
      </c>
      <c r="O16" s="834"/>
      <c r="P16" s="831">
        <f t="shared" si="0"/>
        <v>0</v>
      </c>
      <c r="Q16" s="831"/>
      <c r="R16" s="835">
        <v>1</v>
      </c>
      <c r="S16" s="835"/>
      <c r="T16" s="95">
        <f t="shared" si="4"/>
        <v>0</v>
      </c>
      <c r="U16" s="524">
        <f t="shared" si="5"/>
        <v>0</v>
      </c>
    </row>
    <row r="17" spans="1:21" x14ac:dyDescent="0.25">
      <c r="A17" s="788" t="s">
        <v>23</v>
      </c>
      <c r="B17" s="788"/>
      <c r="C17" s="143">
        <v>29</v>
      </c>
      <c r="D17" s="143">
        <v>0</v>
      </c>
      <c r="E17" s="116">
        <f t="shared" si="1"/>
        <v>58</v>
      </c>
      <c r="F17" s="833">
        <f>'1461'!F17:G17</f>
        <v>1</v>
      </c>
      <c r="G17" s="833"/>
      <c r="H17" s="80">
        <f t="shared" si="2"/>
        <v>58</v>
      </c>
      <c r="I17" s="101">
        <f t="shared" si="3"/>
        <v>321812.07</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8.1999999999999993</v>
      </c>
      <c r="D27" s="143">
        <v>0</v>
      </c>
      <c r="E27" s="116">
        <f t="shared" si="1"/>
        <v>16.399999999999999</v>
      </c>
      <c r="F27" s="833">
        <f>'1461'!F27:G27</f>
        <v>1.1919999999999999</v>
      </c>
      <c r="G27" s="833"/>
      <c r="H27" s="80">
        <f t="shared" si="2"/>
        <v>19.5488</v>
      </c>
      <c r="I27" s="101">
        <f t="shared" si="3"/>
        <v>108466.2</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263.8</v>
      </c>
      <c r="D30" s="94">
        <f>SUM(D14:D29)</f>
        <v>0</v>
      </c>
      <c r="E30" s="94">
        <f>SUM(E14:E29)</f>
        <v>527.6</v>
      </c>
      <c r="F30" s="792"/>
      <c r="G30" s="792"/>
      <c r="H30" s="99">
        <f>SUM(H14:H29)</f>
        <v>530.74879999999996</v>
      </c>
      <c r="I30" s="94">
        <f>SUM(I14:I29)</f>
        <v>2944851.21</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530.74879999999996</v>
      </c>
      <c r="F46" s="34"/>
      <c r="G46" s="106"/>
      <c r="H46" s="107" t="s">
        <v>98</v>
      </c>
      <c r="I46" s="94">
        <f>SUM(I44,I30)</f>
        <v>2944851.21</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2916219.92</v>
      </c>
      <c r="G51" s="109" t="s">
        <v>6</v>
      </c>
      <c r="H51" s="453">
        <v>5.5899999999999998E-2</v>
      </c>
      <c r="I51" s="101">
        <f>ROUND(F51*H51,2)</f>
        <v>163016.69</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2916219.92</v>
      </c>
      <c r="G52" s="109" t="s">
        <v>6</v>
      </c>
      <c r="H52" s="453">
        <v>1.0699999999999999E-2</v>
      </c>
      <c r="I52" s="101">
        <f>ROUND(F52*H52,2)</f>
        <v>31203.55</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194220.24</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29</v>
      </c>
      <c r="D60" s="143">
        <v>0</v>
      </c>
      <c r="E60" s="116">
        <f t="shared" si="10"/>
        <v>58</v>
      </c>
      <c r="F60" s="495" t="s">
        <v>13</v>
      </c>
      <c r="G60" s="494">
        <v>251</v>
      </c>
      <c r="H60" s="508">
        <f>'1461'!H60</f>
        <v>1173</v>
      </c>
      <c r="I60" s="101">
        <f t="shared" si="11"/>
        <v>68034</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29</v>
      </c>
      <c r="D66" s="97">
        <f>SUM(D57:D65)</f>
        <v>0</v>
      </c>
      <c r="E66" s="97">
        <f>SUM(E57:E65)</f>
        <v>58</v>
      </c>
      <c r="F66" s="800" t="s">
        <v>507</v>
      </c>
      <c r="G66" s="800"/>
      <c r="H66" s="800"/>
      <c r="I66" s="97">
        <f>SUM(I57:I65)</f>
        <v>68034</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527.6</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2.5010000000000002E-3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530.74879999999996</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2.2339999999999999E-3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527.6</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2.8240000000000001E-3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527.6</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2.5049999999999998E-3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527.6</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2.8289999999999999E-3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2.5049999999999998E-3</v>
      </c>
      <c r="I85" s="101">
        <f>ROUND(F85*H85,2)</f>
        <v>115985.8</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2.5010000000000002E-3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2.8289999999999999E-3</v>
      </c>
      <c r="I90" s="101">
        <f>ROUND(F90*H90,2)</f>
        <v>54107.14</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2.8240000000000001E-3</v>
      </c>
      <c r="I92" s="101">
        <f t="shared" ref="I92:I96" si="14">ROUND(F92*H92,2)</f>
        <v>32508.09</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2.2339999999999999E-3</v>
      </c>
      <c r="I94" s="101">
        <f t="shared" si="14"/>
        <v>571360.73</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2.2339999999999999E-3</v>
      </c>
      <c r="I96" s="101">
        <f t="shared" si="14"/>
        <v>-34502.019999999997</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2.5010000000000002E-3</v>
      </c>
      <c r="I98" s="101">
        <f t="shared" ref="I98" si="16">ROUND(F98*H98,2)</f>
        <v>14059.18</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530.74879999999996</v>
      </c>
      <c r="D105" s="806"/>
      <c r="E105" s="46">
        <f>H8</f>
        <v>1.0407999999999999</v>
      </c>
      <c r="F105" s="302">
        <f>'1461'!F105</f>
        <v>907.92</v>
      </c>
      <c r="G105" s="39" t="s">
        <v>12</v>
      </c>
      <c r="H105" s="101">
        <f>ROUND(C105*E105*F105,2)</f>
        <v>501538.05</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530.74879999999996</v>
      </c>
      <c r="D107" s="796"/>
      <c r="E107" s="123"/>
      <c r="F107" s="123"/>
      <c r="G107" s="123"/>
      <c r="H107" s="124" t="s">
        <v>100</v>
      </c>
      <c r="I107" s="101">
        <f>IF(A1=75,0,H106+H105+H104)</f>
        <v>501538.05</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353</v>
      </c>
      <c r="D113" s="143">
        <v>0</v>
      </c>
      <c r="E113" s="116">
        <f>C113</f>
        <v>353</v>
      </c>
      <c r="F113" s="126" t="s">
        <v>30</v>
      </c>
      <c r="G113" s="303">
        <f>'1461'!G113</f>
        <v>607</v>
      </c>
      <c r="I113" s="101">
        <f>ROUND(G113*E113,2)</f>
        <v>214271</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4482213.18</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4287992.9399999995</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4287992.9399999995</v>
      </c>
      <c r="I135" s="94">
        <f>ROUND(IF(E30=0,0,IF(E30&gt;250,-(((250/E30)*H135)*IF(G135="H",0.02,0.05)),IF(G135="H",-0.02*H135,-0.05*H135))),2)</f>
        <v>-101591.95</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4380621.2299999995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Payments'!Q94</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4380621.2299999995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240</v>
      </c>
      <c r="B145" s="69"/>
      <c r="C145" s="69"/>
      <c r="D145" s="69"/>
      <c r="E145" s="69"/>
      <c r="F145" s="69"/>
      <c r="G145" s="69"/>
      <c r="H145" s="65"/>
      <c r="I145" s="155">
        <f>ROUND(I141/I143,2)</f>
        <v>365051.77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112807.7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424</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95.72</v>
      </c>
      <c r="D16" s="143">
        <v>0</v>
      </c>
      <c r="E16" s="116">
        <f t="shared" si="1"/>
        <v>191.44</v>
      </c>
      <c r="F16" s="833">
        <f>'1461'!F16:G16</f>
        <v>1</v>
      </c>
      <c r="G16" s="833"/>
      <c r="H16" s="80">
        <f t="shared" si="2"/>
        <v>191.44</v>
      </c>
      <c r="I16" s="101">
        <f t="shared" si="3"/>
        <v>1062201.77</v>
      </c>
      <c r="N16" s="834" t="s">
        <v>22</v>
      </c>
      <c r="O16" s="834"/>
      <c r="P16" s="831">
        <f t="shared" si="0"/>
        <v>0</v>
      </c>
      <c r="Q16" s="831"/>
      <c r="R16" s="835">
        <v>1</v>
      </c>
      <c r="S16" s="835"/>
      <c r="T16" s="95">
        <f t="shared" si="4"/>
        <v>0</v>
      </c>
      <c r="U16" s="524">
        <f t="shared" si="5"/>
        <v>0</v>
      </c>
    </row>
    <row r="17" spans="1:21" x14ac:dyDescent="0.25">
      <c r="A17" s="788" t="s">
        <v>23</v>
      </c>
      <c r="B17" s="788"/>
      <c r="C17" s="143">
        <v>21.5</v>
      </c>
      <c r="D17" s="143">
        <v>0</v>
      </c>
      <c r="E17" s="116">
        <f t="shared" si="1"/>
        <v>43</v>
      </c>
      <c r="F17" s="833">
        <f>'1461'!F17:G17</f>
        <v>1</v>
      </c>
      <c r="G17" s="833"/>
      <c r="H17" s="80">
        <f t="shared" si="2"/>
        <v>43</v>
      </c>
      <c r="I17" s="101">
        <f t="shared" si="3"/>
        <v>238584.81</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60.97</v>
      </c>
      <c r="D18" s="143">
        <v>0</v>
      </c>
      <c r="E18" s="116">
        <f t="shared" si="1"/>
        <v>121.94</v>
      </c>
      <c r="F18" s="833">
        <f>'1461'!F18:G18</f>
        <v>0.97799999999999998</v>
      </c>
      <c r="G18" s="833"/>
      <c r="H18" s="80">
        <f t="shared" si="2"/>
        <v>119.2573</v>
      </c>
      <c r="I18" s="101">
        <f t="shared" si="3"/>
        <v>661697.22</v>
      </c>
      <c r="N18" s="834" t="s">
        <v>24</v>
      </c>
      <c r="O18" s="834"/>
      <c r="P18" s="831">
        <f t="shared" si="0"/>
        <v>0</v>
      </c>
      <c r="Q18" s="831"/>
      <c r="R18" s="835">
        <v>1</v>
      </c>
      <c r="S18" s="835"/>
      <c r="T18" s="95">
        <f t="shared" si="4"/>
        <v>0</v>
      </c>
      <c r="U18" s="524">
        <f t="shared" si="5"/>
        <v>0</v>
      </c>
    </row>
    <row r="19" spans="1:21" x14ac:dyDescent="0.25">
      <c r="A19" s="788" t="s">
        <v>25</v>
      </c>
      <c r="B19" s="788"/>
      <c r="C19" s="143">
        <v>12</v>
      </c>
      <c r="D19" s="143">
        <v>0</v>
      </c>
      <c r="E19" s="116">
        <f t="shared" si="1"/>
        <v>24</v>
      </c>
      <c r="F19" s="833">
        <f>'1461'!F19:G19</f>
        <v>0.97799999999999998</v>
      </c>
      <c r="G19" s="833"/>
      <c r="H19" s="80">
        <f t="shared" si="2"/>
        <v>23.472000000000001</v>
      </c>
      <c r="I19" s="101">
        <f t="shared" si="3"/>
        <v>130234.02</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18.28</v>
      </c>
      <c r="D27" s="143">
        <v>0</v>
      </c>
      <c r="E27" s="116">
        <f t="shared" si="1"/>
        <v>36.56</v>
      </c>
      <c r="F27" s="833">
        <f>'1461'!F27:G27</f>
        <v>1.1919999999999999</v>
      </c>
      <c r="G27" s="833"/>
      <c r="H27" s="80">
        <f t="shared" si="2"/>
        <v>43.579500000000003</v>
      </c>
      <c r="I27" s="101">
        <f t="shared" si="3"/>
        <v>241800.16</v>
      </c>
      <c r="N27" s="834" t="s">
        <v>86</v>
      </c>
      <c r="O27" s="834"/>
      <c r="P27" s="831">
        <f t="shared" si="0"/>
        <v>0</v>
      </c>
      <c r="Q27" s="831"/>
      <c r="R27" s="835">
        <v>1</v>
      </c>
      <c r="S27" s="835"/>
      <c r="T27" s="95">
        <f t="shared" si="4"/>
        <v>0</v>
      </c>
      <c r="U27" s="524">
        <f t="shared" si="5"/>
        <v>0</v>
      </c>
    </row>
    <row r="28" spans="1:21" x14ac:dyDescent="0.25">
      <c r="A28" s="788" t="s">
        <v>87</v>
      </c>
      <c r="B28" s="788"/>
      <c r="C28" s="143">
        <v>7.92</v>
      </c>
      <c r="D28" s="143">
        <v>0</v>
      </c>
      <c r="E28" s="116">
        <f t="shared" si="1"/>
        <v>15.84</v>
      </c>
      <c r="F28" s="833">
        <f>'1461'!F28:G28</f>
        <v>1.1919999999999999</v>
      </c>
      <c r="G28" s="833"/>
      <c r="H28" s="80">
        <f t="shared" si="2"/>
        <v>18.8813</v>
      </c>
      <c r="I28" s="101">
        <f t="shared" si="3"/>
        <v>104762.59</v>
      </c>
      <c r="N28" s="834" t="s">
        <v>87</v>
      </c>
      <c r="O28" s="834"/>
      <c r="P28" s="831">
        <f t="shared" si="0"/>
        <v>0</v>
      </c>
      <c r="Q28" s="831"/>
      <c r="R28" s="835">
        <v>1</v>
      </c>
      <c r="S28" s="835"/>
      <c r="T28" s="95">
        <f t="shared" si="4"/>
        <v>0</v>
      </c>
      <c r="U28" s="524">
        <f t="shared" si="5"/>
        <v>0</v>
      </c>
    </row>
    <row r="29" spans="1:21" x14ac:dyDescent="0.25">
      <c r="A29" s="788" t="s">
        <v>88</v>
      </c>
      <c r="B29" s="788"/>
      <c r="C29" s="110">
        <v>2.2200000000000002</v>
      </c>
      <c r="D29" s="110">
        <v>0</v>
      </c>
      <c r="E29" s="154">
        <f t="shared" si="1"/>
        <v>4.4400000000000004</v>
      </c>
      <c r="F29" s="833">
        <f>'1461'!F29:G29</f>
        <v>1.079</v>
      </c>
      <c r="G29" s="833"/>
      <c r="H29" s="93">
        <f t="shared" si="2"/>
        <v>4.7907999999999999</v>
      </c>
      <c r="I29" s="94">
        <f t="shared" si="3"/>
        <v>26581.68</v>
      </c>
      <c r="N29" s="836" t="s">
        <v>88</v>
      </c>
      <c r="O29" s="836"/>
      <c r="P29" s="831">
        <f t="shared" si="0"/>
        <v>0</v>
      </c>
      <c r="Q29" s="831"/>
      <c r="R29" s="837">
        <v>1</v>
      </c>
      <c r="S29" s="837"/>
      <c r="T29" s="95">
        <f t="shared" si="4"/>
        <v>0</v>
      </c>
      <c r="U29" s="524">
        <f t="shared" si="5"/>
        <v>0</v>
      </c>
    </row>
    <row r="30" spans="1:21" x14ac:dyDescent="0.25">
      <c r="A30" s="800" t="s">
        <v>5</v>
      </c>
      <c r="B30" s="800"/>
      <c r="C30" s="94">
        <f>SUM(C14:C29)</f>
        <v>218.60999999999999</v>
      </c>
      <c r="D30" s="94">
        <f>SUM(D14:D29)</f>
        <v>0</v>
      </c>
      <c r="E30" s="94">
        <f>SUM(E14:E29)</f>
        <v>437.21999999999997</v>
      </c>
      <c r="F30" s="792"/>
      <c r="G30" s="792"/>
      <c r="H30" s="99">
        <f>SUM(H14:H29)</f>
        <v>444.42089999999996</v>
      </c>
      <c r="I30" s="94">
        <f>SUM(I14:I29)</f>
        <v>2465862.25</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444.42089999999996</v>
      </c>
      <c r="F46" s="34"/>
      <c r="G46" s="106"/>
      <c r="H46" s="107" t="s">
        <v>98</v>
      </c>
      <c r="I46" s="94">
        <f>SUM(I44,I30)</f>
        <v>2465862.25</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2608794.5100000002</v>
      </c>
      <c r="G51" s="109" t="s">
        <v>6</v>
      </c>
      <c r="H51" s="453">
        <v>5.5899999999999998E-2</v>
      </c>
      <c r="I51" s="101">
        <f>ROUND(F51*H51,2)</f>
        <v>145831.60999999999</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2608794.5100000002</v>
      </c>
      <c r="G52" s="109" t="s">
        <v>6</v>
      </c>
      <c r="H52" s="453">
        <v>1.0699999999999999E-2</v>
      </c>
      <c r="I52" s="101">
        <f>ROUND(F52*H52,2)</f>
        <v>27914.1</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173745.71</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20.5</v>
      </c>
      <c r="D60" s="143">
        <v>0</v>
      </c>
      <c r="E60" s="116">
        <f t="shared" si="10"/>
        <v>41</v>
      </c>
      <c r="F60" s="495" t="s">
        <v>13</v>
      </c>
      <c r="G60" s="494">
        <v>251</v>
      </c>
      <c r="H60" s="508">
        <f>'1461'!H60</f>
        <v>1173</v>
      </c>
      <c r="I60" s="101">
        <f t="shared" si="11"/>
        <v>48093</v>
      </c>
      <c r="N60" s="849"/>
      <c r="O60" s="849"/>
      <c r="P60" s="851"/>
      <c r="Q60" s="851"/>
      <c r="R60" s="40" t="s">
        <v>13</v>
      </c>
      <c r="S60" s="500">
        <v>251</v>
      </c>
      <c r="T60" s="511">
        <f t="shared" si="12"/>
        <v>1173</v>
      </c>
      <c r="U60" s="525">
        <f t="shared" si="13"/>
        <v>0</v>
      </c>
      <c r="V60" s="475"/>
    </row>
    <row r="61" spans="1:22" x14ac:dyDescent="0.25">
      <c r="A61" s="799"/>
      <c r="B61" s="799"/>
      <c r="C61" s="143">
        <v>1</v>
      </c>
      <c r="D61" s="143">
        <v>0</v>
      </c>
      <c r="E61" s="116">
        <f t="shared" si="10"/>
        <v>2</v>
      </c>
      <c r="F61" s="495" t="s">
        <v>13</v>
      </c>
      <c r="G61" s="494">
        <v>252</v>
      </c>
      <c r="H61" s="508">
        <f>'1461'!H61</f>
        <v>3506</v>
      </c>
      <c r="I61" s="101">
        <f t="shared" si="11"/>
        <v>7012</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11</v>
      </c>
      <c r="D63" s="143">
        <v>0</v>
      </c>
      <c r="E63" s="116">
        <f t="shared" si="10"/>
        <v>22</v>
      </c>
      <c r="F63" s="495" t="s">
        <v>14</v>
      </c>
      <c r="G63" s="494">
        <v>251</v>
      </c>
      <c r="H63" s="508">
        <f>'1461'!H63</f>
        <v>835</v>
      </c>
      <c r="I63" s="101">
        <f t="shared" si="11"/>
        <v>18370</v>
      </c>
      <c r="N63" s="849"/>
      <c r="O63" s="849"/>
      <c r="P63" s="851"/>
      <c r="Q63" s="851"/>
      <c r="R63" s="40" t="s">
        <v>14</v>
      </c>
      <c r="S63" s="500">
        <v>251</v>
      </c>
      <c r="T63" s="511">
        <f t="shared" si="12"/>
        <v>835</v>
      </c>
      <c r="U63" s="525">
        <f t="shared" si="13"/>
        <v>0</v>
      </c>
      <c r="V63" s="475"/>
    </row>
    <row r="64" spans="1:22" x14ac:dyDescent="0.25">
      <c r="A64" s="799"/>
      <c r="B64" s="799"/>
      <c r="C64" s="143">
        <v>1</v>
      </c>
      <c r="D64" s="143">
        <v>0</v>
      </c>
      <c r="E64" s="116">
        <f t="shared" si="10"/>
        <v>2</v>
      </c>
      <c r="F64" s="495" t="s">
        <v>14</v>
      </c>
      <c r="G64" s="494">
        <v>252</v>
      </c>
      <c r="H64" s="508">
        <f>'1461'!H64</f>
        <v>3168</v>
      </c>
      <c r="I64" s="101">
        <f t="shared" si="11"/>
        <v>6336</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33.5</v>
      </c>
      <c r="D66" s="97">
        <f>SUM(D57:D65)</f>
        <v>0</v>
      </c>
      <c r="E66" s="97">
        <f>SUM(E57:E65)</f>
        <v>67</v>
      </c>
      <c r="F66" s="800" t="s">
        <v>507</v>
      </c>
      <c r="G66" s="800"/>
      <c r="H66" s="800"/>
      <c r="I66" s="97">
        <f>SUM(I57:I65)</f>
        <v>79811</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437.21999999999997</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2.0730000000000002E-3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444.42089999999996</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1.8699999999999999E-3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437.21999999999997</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2.3400000000000001E-3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437.21999999999997</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2.0760000000000002E-3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437.21999999999997</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2.3440000000000002E-3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2.0760000000000002E-3</v>
      </c>
      <c r="I85" s="101">
        <f>ROUND(F85*H85,2)</f>
        <v>96122.36</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2.0730000000000002E-3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2.3440000000000002E-3</v>
      </c>
      <c r="I90" s="101">
        <f>ROUND(F90*H90,2)</f>
        <v>44831.09</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2.3400000000000001E-3</v>
      </c>
      <c r="I92" s="101">
        <f t="shared" ref="I92:I96" si="14">ROUND(F92*H92,2)</f>
        <v>26936.59</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1.8699999999999999E-3</v>
      </c>
      <c r="I94" s="101">
        <f t="shared" si="14"/>
        <v>478265.25</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1.8699999999999999E-3</v>
      </c>
      <c r="I96" s="101">
        <f t="shared" si="14"/>
        <v>-28880.38</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2.0730000000000002E-3</v>
      </c>
      <c r="I98" s="101">
        <f t="shared" ref="I98" si="16">ROUND(F98*H98,2)</f>
        <v>11653.21</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278.01949999999999</v>
      </c>
      <c r="D105" s="806"/>
      <c r="E105" s="46">
        <f>H8</f>
        <v>1.0407999999999999</v>
      </c>
      <c r="F105" s="302">
        <f>'1461'!F105</f>
        <v>907.92</v>
      </c>
      <c r="G105" s="39" t="s">
        <v>12</v>
      </c>
      <c r="H105" s="101">
        <f>ROUND(C105*E105*F105,2)</f>
        <v>262718.18</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166.4014</v>
      </c>
      <c r="D106" s="806"/>
      <c r="E106" s="46">
        <f>H8</f>
        <v>1.0407999999999999</v>
      </c>
      <c r="F106" s="302">
        <f>'1461'!F106</f>
        <v>910.12</v>
      </c>
      <c r="G106" s="39" t="s">
        <v>12</v>
      </c>
      <c r="H106" s="94">
        <f>ROUND(C106*E106*F106,2)</f>
        <v>157624.21</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444.42089999999996</v>
      </c>
      <c r="D107" s="796"/>
      <c r="E107" s="123"/>
      <c r="F107" s="123"/>
      <c r="G107" s="123"/>
      <c r="H107" s="124" t="s">
        <v>100</v>
      </c>
      <c r="I107" s="101">
        <f>IF(A1=75,0,H106+H105+H104)</f>
        <v>420342.39</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238</v>
      </c>
      <c r="D113" s="143">
        <v>0</v>
      </c>
      <c r="E113" s="116">
        <f>C113</f>
        <v>238</v>
      </c>
      <c r="F113" s="126" t="s">
        <v>30</v>
      </c>
      <c r="G113" s="303">
        <f>'1461'!G113</f>
        <v>607</v>
      </c>
      <c r="I113" s="101">
        <f>ROUND(G113*E113,2)</f>
        <v>144466</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3739409.76</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3565664.05</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3565664.05</v>
      </c>
      <c r="I135" s="94">
        <f>ROUND(IF(E30=0,0,IF(E30&gt;250,-(((250/E30)*H135)*IF(G135="H",0.02,0.05)),IF(G135="H",-0.02*H135,-0.05*H135))),2)</f>
        <v>-101941.36</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3637468.4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Payments'!Q95</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3637468.4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303122.37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76341.84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v>637300</v>
      </c>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126</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60.82</v>
      </c>
      <c r="D14" s="141">
        <v>0</v>
      </c>
      <c r="E14" s="187">
        <f>IF(D$30=0,C14*2,C14+D14)</f>
        <v>121.64</v>
      </c>
      <c r="F14" s="829">
        <f>'1461'!F14:G14</f>
        <v>1.1180000000000001</v>
      </c>
      <c r="G14" s="829"/>
      <c r="H14" s="145">
        <f>ROUND(E14*F14,4)</f>
        <v>135.99350000000001</v>
      </c>
      <c r="I14" s="111">
        <f>ROUND(ROUND(ROUND(H14*$C$8,4)*($H$8),2)*(MAX($H$9,1)),2)</f>
        <v>754557.76</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9</v>
      </c>
      <c r="D15" s="143">
        <v>0</v>
      </c>
      <c r="E15" s="116">
        <f t="shared" ref="E15:E29" si="1">IF(D$30=0,C15*2,C15+D15)</f>
        <v>18</v>
      </c>
      <c r="F15" s="833">
        <f>'1461'!F15:G15</f>
        <v>1.1180000000000001</v>
      </c>
      <c r="G15" s="833"/>
      <c r="H15" s="80">
        <f t="shared" ref="H15:H29" si="2">ROUND(E15*F15,4)</f>
        <v>20.123999999999999</v>
      </c>
      <c r="I15" s="101">
        <f t="shared" ref="I15:I29" si="3">ROUND(ROUND(ROUND(H15*$C$8,4)*($H$8),2)*(MAX($H$9,1)),2)</f>
        <v>111657.69</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24.59</v>
      </c>
      <c r="D16" s="143">
        <v>0</v>
      </c>
      <c r="E16" s="116">
        <f t="shared" si="1"/>
        <v>49.18</v>
      </c>
      <c r="F16" s="833">
        <f>'1461'!F16:G16</f>
        <v>1</v>
      </c>
      <c r="G16" s="833"/>
      <c r="H16" s="80">
        <f t="shared" si="2"/>
        <v>49.18</v>
      </c>
      <c r="I16" s="101">
        <f t="shared" si="3"/>
        <v>272874.44</v>
      </c>
      <c r="N16" s="834" t="s">
        <v>22</v>
      </c>
      <c r="O16" s="834"/>
      <c r="P16" s="831">
        <f t="shared" si="0"/>
        <v>0</v>
      </c>
      <c r="Q16" s="831"/>
      <c r="R16" s="835">
        <v>1</v>
      </c>
      <c r="S16" s="835"/>
      <c r="T16" s="95">
        <f t="shared" si="4"/>
        <v>0</v>
      </c>
      <c r="U16" s="524">
        <f t="shared" si="5"/>
        <v>0</v>
      </c>
    </row>
    <row r="17" spans="1:21" x14ac:dyDescent="0.25">
      <c r="A17" s="788" t="s">
        <v>23</v>
      </c>
      <c r="B17" s="788"/>
      <c r="C17" s="143">
        <v>7.5</v>
      </c>
      <c r="D17" s="143">
        <v>0</v>
      </c>
      <c r="E17" s="116">
        <f t="shared" si="1"/>
        <v>15</v>
      </c>
      <c r="F17" s="833">
        <f>'1461'!F17:G17</f>
        <v>1</v>
      </c>
      <c r="G17" s="833"/>
      <c r="H17" s="80">
        <f t="shared" si="2"/>
        <v>15</v>
      </c>
      <c r="I17" s="101">
        <f t="shared" si="3"/>
        <v>83227.259999999995</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9.18</v>
      </c>
      <c r="D26" s="143">
        <v>0</v>
      </c>
      <c r="E26" s="116">
        <f t="shared" si="1"/>
        <v>18.36</v>
      </c>
      <c r="F26" s="833">
        <f>'1461'!F26:G26</f>
        <v>1.1919999999999999</v>
      </c>
      <c r="G26" s="833"/>
      <c r="H26" s="80">
        <f t="shared" si="2"/>
        <v>21.885100000000001</v>
      </c>
      <c r="I26" s="101">
        <f t="shared" si="3"/>
        <v>121429.13</v>
      </c>
      <c r="N26" s="834" t="s">
        <v>85</v>
      </c>
      <c r="O26" s="834"/>
      <c r="P26" s="831">
        <f t="shared" si="0"/>
        <v>0</v>
      </c>
      <c r="Q26" s="831"/>
      <c r="R26" s="835">
        <v>1</v>
      </c>
      <c r="S26" s="835"/>
      <c r="T26" s="95">
        <f t="shared" si="4"/>
        <v>0</v>
      </c>
      <c r="U26" s="524">
        <f t="shared" si="5"/>
        <v>0</v>
      </c>
    </row>
    <row r="27" spans="1:21" x14ac:dyDescent="0.25">
      <c r="A27" s="788" t="s">
        <v>86</v>
      </c>
      <c r="B27" s="788"/>
      <c r="C27" s="143">
        <v>3.41</v>
      </c>
      <c r="D27" s="143">
        <v>0</v>
      </c>
      <c r="E27" s="116">
        <f t="shared" si="1"/>
        <v>6.82</v>
      </c>
      <c r="F27" s="833">
        <f>'1461'!F27:G27</f>
        <v>1.1919999999999999</v>
      </c>
      <c r="G27" s="833"/>
      <c r="H27" s="80">
        <f t="shared" si="2"/>
        <v>8.1294000000000004</v>
      </c>
      <c r="I27" s="101">
        <f t="shared" si="3"/>
        <v>45105.85</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114.5</v>
      </c>
      <c r="D30" s="94">
        <f>SUM(D14:D29)</f>
        <v>0</v>
      </c>
      <c r="E30" s="94">
        <f>SUM(E14:E29)</f>
        <v>229</v>
      </c>
      <c r="F30" s="792"/>
      <c r="G30" s="792"/>
      <c r="H30" s="99">
        <f>SUM(H14:H29)</f>
        <v>250.31200000000001</v>
      </c>
      <c r="I30" s="94">
        <f>SUM(I14:I29)</f>
        <v>1388852.13</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250.31200000000001</v>
      </c>
      <c r="F46" s="34"/>
      <c r="G46" s="106"/>
      <c r="H46" s="107" t="s">
        <v>98</v>
      </c>
      <c r="I46" s="94">
        <f>SUM(I44,I30)</f>
        <v>1388852.13</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3" t="s">
        <v>577</v>
      </c>
      <c r="C51" s="26"/>
      <c r="D51" s="26"/>
      <c r="E51" s="43" t="s">
        <v>461</v>
      </c>
      <c r="F51" s="452">
        <v>1518512.98</v>
      </c>
      <c r="G51" s="109" t="s">
        <v>6</v>
      </c>
      <c r="H51" s="453">
        <v>5.5899999999999998E-2</v>
      </c>
      <c r="I51" s="101">
        <f>ROUND(F51*H51,2)</f>
        <v>84884.88</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1518512.98</v>
      </c>
      <c r="G52" s="109" t="s">
        <v>6</v>
      </c>
      <c r="H52" s="453">
        <v>1.0699999999999999E-2</v>
      </c>
      <c r="I52" s="101">
        <f>ROUND(F52*H52,2)</f>
        <v>16248.09</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101132.97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7</v>
      </c>
      <c r="D57" s="143">
        <v>0</v>
      </c>
      <c r="E57" s="116">
        <f t="shared" ref="E57:E65" si="10">IF(D$66=0,C57*2,C57+D57)</f>
        <v>14</v>
      </c>
      <c r="F57" s="494" t="s">
        <v>498</v>
      </c>
      <c r="G57" s="494">
        <v>251</v>
      </c>
      <c r="H57" s="508">
        <f>'1461'!H57</f>
        <v>1047</v>
      </c>
      <c r="I57" s="101">
        <f>ROUND(E57*H57,2)</f>
        <v>14658</v>
      </c>
      <c r="N57" s="848" t="s">
        <v>506</v>
      </c>
      <c r="O57" s="848"/>
      <c r="P57" s="850"/>
      <c r="Q57" s="850"/>
      <c r="R57" s="500" t="s">
        <v>498</v>
      </c>
      <c r="S57" s="500">
        <v>251</v>
      </c>
      <c r="T57" s="511">
        <f>H57</f>
        <v>1047</v>
      </c>
      <c r="U57" s="525">
        <f>ROUND(P57*T57,2)</f>
        <v>0</v>
      </c>
      <c r="V57" s="475"/>
    </row>
    <row r="58" spans="1:22" x14ac:dyDescent="0.25">
      <c r="A58" s="799"/>
      <c r="B58" s="799"/>
      <c r="C58" s="143">
        <v>2</v>
      </c>
      <c r="D58" s="143">
        <v>0</v>
      </c>
      <c r="E58" s="116">
        <f t="shared" si="10"/>
        <v>4</v>
      </c>
      <c r="F58" s="494" t="s">
        <v>498</v>
      </c>
      <c r="G58" s="494">
        <v>252</v>
      </c>
      <c r="H58" s="508">
        <f>'1461'!H58</f>
        <v>3380</v>
      </c>
      <c r="I58" s="101">
        <f t="shared" ref="I58:I65" si="11">ROUND(E58*H58,2)</f>
        <v>13520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5.5</v>
      </c>
      <c r="D60" s="143">
        <v>0</v>
      </c>
      <c r="E60" s="116">
        <f t="shared" si="10"/>
        <v>11</v>
      </c>
      <c r="F60" s="495" t="s">
        <v>13</v>
      </c>
      <c r="G60" s="494">
        <v>251</v>
      </c>
      <c r="H60" s="508">
        <f>'1461'!H60</f>
        <v>1173</v>
      </c>
      <c r="I60" s="101">
        <f t="shared" si="11"/>
        <v>12903</v>
      </c>
      <c r="N60" s="849"/>
      <c r="O60" s="849"/>
      <c r="P60" s="851"/>
      <c r="Q60" s="851"/>
      <c r="R60" s="40" t="s">
        <v>13</v>
      </c>
      <c r="S60" s="500">
        <v>251</v>
      </c>
      <c r="T60" s="511">
        <f t="shared" si="12"/>
        <v>1173</v>
      </c>
      <c r="U60" s="525">
        <f t="shared" si="13"/>
        <v>0</v>
      </c>
      <c r="V60" s="475"/>
    </row>
    <row r="61" spans="1:22" x14ac:dyDescent="0.25">
      <c r="A61" s="799"/>
      <c r="B61" s="799"/>
      <c r="C61" s="143">
        <v>2</v>
      </c>
      <c r="D61" s="143">
        <v>0</v>
      </c>
      <c r="E61" s="116">
        <f t="shared" si="10"/>
        <v>4</v>
      </c>
      <c r="F61" s="495" t="s">
        <v>13</v>
      </c>
      <c r="G61" s="494">
        <v>252</v>
      </c>
      <c r="H61" s="508">
        <f>'1461'!H61</f>
        <v>3506</v>
      </c>
      <c r="I61" s="101">
        <f t="shared" si="11"/>
        <v>14024</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16.5</v>
      </c>
      <c r="D66" s="97">
        <f>SUM(D57:D65)</f>
        <v>0</v>
      </c>
      <c r="E66" s="97">
        <f>SUM(E57:E65)</f>
        <v>33</v>
      </c>
      <c r="F66" s="800" t="s">
        <v>507</v>
      </c>
      <c r="G66" s="800"/>
      <c r="H66" s="800"/>
      <c r="I66" s="97">
        <f>SUM(I57:I65)</f>
        <v>55105</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229</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1.0859999999999999E-3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250.31200000000001</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1.0529999999999999E-3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229</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1.2260000000000001E-3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229</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1.0870000000000001E-3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229</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1.2279999999999999E-3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1.0870000000000001E-3</v>
      </c>
      <c r="I85" s="101">
        <f>ROUND(F85*H85,2)</f>
        <v>50329.97</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1.0859999999999999E-3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1.2279999999999999E-3</v>
      </c>
      <c r="I90" s="101">
        <f>ROUND(F90*H90,2)</f>
        <v>23486.59</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1.2260000000000001E-3</v>
      </c>
      <c r="I92" s="101">
        <f t="shared" ref="I92:I96" si="14">ROUND(F92*H92,2)</f>
        <v>14112.93</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1.0529999999999999E-3</v>
      </c>
      <c r="I94" s="101">
        <f t="shared" si="14"/>
        <v>269311.93</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1.0529999999999999E-3</v>
      </c>
      <c r="I96" s="101">
        <f t="shared" si="14"/>
        <v>-16262.59</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1.0859999999999999E-3</v>
      </c>
      <c r="I98" s="101">
        <f t="shared" ref="I98" si="16">ROUND(F98*H98,2)</f>
        <v>6104.87</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178.0026</v>
      </c>
      <c r="D104" s="806"/>
      <c r="E104" s="46">
        <f>H8</f>
        <v>1.0407999999999999</v>
      </c>
      <c r="F104" s="302">
        <f>'1461'!F104</f>
        <v>950.92</v>
      </c>
      <c r="G104" s="39" t="s">
        <v>12</v>
      </c>
      <c r="H104" s="101">
        <f>ROUND(C104*E104*F104,2)</f>
        <v>176172.29</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72.309400000000011</v>
      </c>
      <c r="D105" s="806"/>
      <c r="E105" s="46">
        <f>H8</f>
        <v>1.0407999999999999</v>
      </c>
      <c r="F105" s="302">
        <f>'1461'!F105</f>
        <v>907.92</v>
      </c>
      <c r="G105" s="39" t="s">
        <v>12</v>
      </c>
      <c r="H105" s="101">
        <f>ROUND(C105*E105*F105,2)</f>
        <v>68329.72</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250.31200000000001</v>
      </c>
      <c r="D107" s="796"/>
      <c r="E107" s="123"/>
      <c r="F107" s="123"/>
      <c r="G107" s="123"/>
      <c r="H107" s="124" t="s">
        <v>100</v>
      </c>
      <c r="I107" s="101">
        <f>IF(A1=75,0,H106+H105+H104)</f>
        <v>244502.01</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v>
      </c>
      <c r="D113" s="143">
        <v>0</v>
      </c>
      <c r="E113" s="116">
        <f>(C113+D113)</f>
        <v>2</v>
      </c>
      <c r="F113" s="126" t="s">
        <v>30</v>
      </c>
      <c r="G113" s="303">
        <f>'1461'!G113</f>
        <v>607</v>
      </c>
      <c r="I113" s="101">
        <f>ROUND(G113*E113,2)</f>
        <v>1214</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2036756.8399999999</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1935623.8699999999</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425" t="s">
        <v>239</v>
      </c>
      <c r="H135" s="139">
        <f>IF(H133=1,I133,I130)</f>
        <v>1935623.8699999999</v>
      </c>
      <c r="I135" s="94">
        <f>ROUND(IF(E30=0,0,IF(E30&gt;250,-(((250/E30)*H135)*IF(G135="H",0.02,0.05)),IF(G135="H",-0.02*H135,-0.05*H135))),2)</f>
        <v>-38712.480000000003</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1998044.3599999999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Payments'!Q96</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1998044.3599999999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166503.70000000001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FFCCCC"/>
  </sheetPr>
  <dimension ref="A1:V221"/>
  <sheetViews>
    <sheetView topLeftCell="A24" workbookViewId="0">
      <selection activeCell="I53" sqref="I5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127</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H3" s="747" t="s">
        <v>623</v>
      </c>
      <c r="I3" s="747"/>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45.05</v>
      </c>
      <c r="D14" s="141">
        <v>0</v>
      </c>
      <c r="E14" s="187">
        <f>IF(D$30=0,C14*2,C14+D14)</f>
        <v>90.1</v>
      </c>
      <c r="F14" s="829">
        <f>'1461'!F14:G14</f>
        <v>1.1180000000000001</v>
      </c>
      <c r="G14" s="829"/>
      <c r="H14" s="145">
        <f>ROUND(E14*F14,4)</f>
        <v>100.73180000000001</v>
      </c>
      <c r="I14" s="111">
        <f>ROUND(ROUND(ROUND(H14*$C$8,4)*($H$8),2)*(MAX($H$9,1)),2)</f>
        <v>558908.78</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5</v>
      </c>
      <c r="D15" s="143">
        <v>0</v>
      </c>
      <c r="E15" s="116">
        <f t="shared" ref="E15:E29" si="1">IF(D$30=0,C15*2,C15+D15)</f>
        <v>10</v>
      </c>
      <c r="F15" s="833">
        <f>'1461'!F15:G15</f>
        <v>1.1180000000000001</v>
      </c>
      <c r="G15" s="833"/>
      <c r="H15" s="80">
        <f t="shared" ref="H15:H29" si="2">ROUND(E15*F15,4)</f>
        <v>11.18</v>
      </c>
      <c r="I15" s="101">
        <f t="shared" ref="I15:I29" si="3">ROUND(ROUND(ROUND(H15*$C$8,4)*($H$8),2)*(MAX($H$9,1)),2)</f>
        <v>62032.05</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78.540000000000006</v>
      </c>
      <c r="D16" s="143">
        <v>0</v>
      </c>
      <c r="E16" s="116">
        <f t="shared" si="1"/>
        <v>157.08000000000001</v>
      </c>
      <c r="F16" s="833">
        <f>'1461'!F16:G16</f>
        <v>1</v>
      </c>
      <c r="G16" s="833"/>
      <c r="H16" s="80">
        <f t="shared" si="2"/>
        <v>157.08000000000001</v>
      </c>
      <c r="I16" s="101">
        <f t="shared" si="3"/>
        <v>871555.86</v>
      </c>
      <c r="N16" s="834" t="s">
        <v>22</v>
      </c>
      <c r="O16" s="834"/>
      <c r="P16" s="831">
        <f t="shared" si="0"/>
        <v>0</v>
      </c>
      <c r="Q16" s="831"/>
      <c r="R16" s="835">
        <v>1</v>
      </c>
      <c r="S16" s="835"/>
      <c r="T16" s="95">
        <f t="shared" si="4"/>
        <v>0</v>
      </c>
      <c r="U16" s="524">
        <f t="shared" si="5"/>
        <v>0</v>
      </c>
    </row>
    <row r="17" spans="1:21" x14ac:dyDescent="0.25">
      <c r="A17" s="788" t="s">
        <v>23</v>
      </c>
      <c r="B17" s="788"/>
      <c r="C17" s="143">
        <v>12</v>
      </c>
      <c r="D17" s="143">
        <v>0</v>
      </c>
      <c r="E17" s="116">
        <f t="shared" si="1"/>
        <v>24</v>
      </c>
      <c r="F17" s="833">
        <f>'1461'!F17:G17</f>
        <v>1</v>
      </c>
      <c r="G17" s="833"/>
      <c r="H17" s="80">
        <f t="shared" si="2"/>
        <v>24</v>
      </c>
      <c r="I17" s="101">
        <f t="shared" si="3"/>
        <v>133163.62</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5.35</v>
      </c>
      <c r="D26" s="143">
        <v>0</v>
      </c>
      <c r="E26" s="116">
        <f t="shared" si="1"/>
        <v>10.7</v>
      </c>
      <c r="F26" s="833">
        <f>'1461'!F26:G26</f>
        <v>1.1919999999999999</v>
      </c>
      <c r="G26" s="833"/>
      <c r="H26" s="80">
        <f t="shared" si="2"/>
        <v>12.7544</v>
      </c>
      <c r="I26" s="101">
        <f t="shared" si="3"/>
        <v>70767.58</v>
      </c>
      <c r="N26" s="834" t="s">
        <v>85</v>
      </c>
      <c r="O26" s="834"/>
      <c r="P26" s="831">
        <f t="shared" si="0"/>
        <v>0</v>
      </c>
      <c r="Q26" s="831"/>
      <c r="R26" s="835">
        <v>1</v>
      </c>
      <c r="S26" s="835"/>
      <c r="T26" s="95">
        <f t="shared" si="4"/>
        <v>0</v>
      </c>
      <c r="U26" s="524">
        <f t="shared" si="5"/>
        <v>0</v>
      </c>
    </row>
    <row r="27" spans="1:21" x14ac:dyDescent="0.25">
      <c r="A27" s="788" t="s">
        <v>86</v>
      </c>
      <c r="B27" s="788"/>
      <c r="C27" s="143">
        <v>4.8899999999999997</v>
      </c>
      <c r="D27" s="143">
        <v>0</v>
      </c>
      <c r="E27" s="116">
        <f t="shared" si="1"/>
        <v>9.7799999999999994</v>
      </c>
      <c r="F27" s="833">
        <f>'1461'!F27:G27</f>
        <v>1.1919999999999999</v>
      </c>
      <c r="G27" s="833"/>
      <c r="H27" s="80">
        <f t="shared" si="2"/>
        <v>11.6578</v>
      </c>
      <c r="I27" s="101">
        <f t="shared" si="3"/>
        <v>64683.12</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150.82999999999998</v>
      </c>
      <c r="D30" s="94">
        <f>SUM(D14:D29)</f>
        <v>0</v>
      </c>
      <c r="E30" s="94">
        <f>SUM(E14:E29)</f>
        <v>301.65999999999997</v>
      </c>
      <c r="F30" s="792"/>
      <c r="G30" s="792"/>
      <c r="H30" s="99">
        <f>SUM(H14:H29)</f>
        <v>317.404</v>
      </c>
      <c r="I30" s="94">
        <f>SUM(I14:I29)</f>
        <v>1761111.0100000002</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317.404</v>
      </c>
      <c r="F46" s="34"/>
      <c r="G46" s="106"/>
      <c r="H46" s="107" t="s">
        <v>98</v>
      </c>
      <c r="I46" s="94">
        <f>SUM(I44,I30)</f>
        <v>1761111.0100000002</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3" t="s">
        <v>577</v>
      </c>
      <c r="C51" s="26"/>
      <c r="D51" s="26"/>
      <c r="E51" s="43" t="s">
        <v>461</v>
      </c>
      <c r="F51" s="452">
        <v>1901014.9200000002</v>
      </c>
      <c r="G51" s="109" t="s">
        <v>6</v>
      </c>
      <c r="H51" s="453">
        <v>5.5899999999999998E-2</v>
      </c>
      <c r="I51" s="101">
        <v>0</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1901014.9200000002</v>
      </c>
      <c r="G52" s="109" t="s">
        <v>6</v>
      </c>
      <c r="H52" s="453">
        <v>1.0699999999999999E-2</v>
      </c>
      <c r="I52" s="101">
        <v>0</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0</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2.5</v>
      </c>
      <c r="D57" s="143">
        <v>0</v>
      </c>
      <c r="E57" s="116">
        <f t="shared" ref="E57:E65" si="10">IF(D$66=0,C57*2,C57+D57)</f>
        <v>5</v>
      </c>
      <c r="F57" s="494" t="s">
        <v>498</v>
      </c>
      <c r="G57" s="494">
        <v>251</v>
      </c>
      <c r="H57" s="508">
        <f>'1461'!H57</f>
        <v>1047</v>
      </c>
      <c r="I57" s="101">
        <f>ROUND(E57*H57,2)</f>
        <v>5235</v>
      </c>
      <c r="N57" s="848" t="s">
        <v>506</v>
      </c>
      <c r="O57" s="848"/>
      <c r="P57" s="850"/>
      <c r="Q57" s="850"/>
      <c r="R57" s="500" t="s">
        <v>498</v>
      </c>
      <c r="S57" s="500">
        <v>251</v>
      </c>
      <c r="T57" s="511">
        <f>H57</f>
        <v>1047</v>
      </c>
      <c r="U57" s="525">
        <f>ROUND(P57*T57,2)</f>
        <v>0</v>
      </c>
      <c r="V57" s="475"/>
    </row>
    <row r="58" spans="1:22" x14ac:dyDescent="0.25">
      <c r="A58" s="799"/>
      <c r="B58" s="799"/>
      <c r="C58" s="143">
        <v>2.5</v>
      </c>
      <c r="D58" s="143">
        <v>0</v>
      </c>
      <c r="E58" s="116">
        <f t="shared" si="10"/>
        <v>5</v>
      </c>
      <c r="F58" s="494" t="s">
        <v>498</v>
      </c>
      <c r="G58" s="494">
        <v>252</v>
      </c>
      <c r="H58" s="508">
        <f>'1461'!H58</f>
        <v>3380</v>
      </c>
      <c r="I58" s="101">
        <f t="shared" ref="I58:I65" si="11">ROUND(E58*H58,2)</f>
        <v>16900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10.5</v>
      </c>
      <c r="D60" s="143">
        <v>0</v>
      </c>
      <c r="E60" s="116">
        <f t="shared" si="10"/>
        <v>21</v>
      </c>
      <c r="F60" s="495" t="s">
        <v>13</v>
      </c>
      <c r="G60" s="494">
        <v>251</v>
      </c>
      <c r="H60" s="508">
        <f>'1461'!H60</f>
        <v>1173</v>
      </c>
      <c r="I60" s="101">
        <f t="shared" si="11"/>
        <v>24633</v>
      </c>
      <c r="N60" s="849"/>
      <c r="O60" s="849"/>
      <c r="P60" s="851"/>
      <c r="Q60" s="851"/>
      <c r="R60" s="40" t="s">
        <v>13</v>
      </c>
      <c r="S60" s="500">
        <v>251</v>
      </c>
      <c r="T60" s="511">
        <f t="shared" si="12"/>
        <v>1173</v>
      </c>
      <c r="U60" s="525">
        <f t="shared" si="13"/>
        <v>0</v>
      </c>
      <c r="V60" s="475"/>
    </row>
    <row r="61" spans="1:22" x14ac:dyDescent="0.25">
      <c r="A61" s="799"/>
      <c r="B61" s="799"/>
      <c r="C61" s="143">
        <v>1.5</v>
      </c>
      <c r="D61" s="143">
        <v>0</v>
      </c>
      <c r="E61" s="116">
        <f t="shared" si="10"/>
        <v>3</v>
      </c>
      <c r="F61" s="495" t="s">
        <v>13</v>
      </c>
      <c r="G61" s="494">
        <v>252</v>
      </c>
      <c r="H61" s="508">
        <f>'1461'!H61</f>
        <v>3506</v>
      </c>
      <c r="I61" s="101">
        <f t="shared" si="11"/>
        <v>10518</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17</v>
      </c>
      <c r="D66" s="97">
        <f>SUM(D57:D65)</f>
        <v>0</v>
      </c>
      <c r="E66" s="97">
        <f>SUM(E57:E65)</f>
        <v>34</v>
      </c>
      <c r="F66" s="800" t="s">
        <v>507</v>
      </c>
      <c r="G66" s="800"/>
      <c r="H66" s="800"/>
      <c r="I66" s="97">
        <f>SUM(I57:I65)</f>
        <v>57286</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301.65999999999997</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1.4300000000000001E-3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317.404</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1.3359999999999999E-3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301.65999999999997</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1.6149999999999999E-3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301.65999999999997</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1.4319999999999999E-3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301.65999999999997</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1.6169999999999999E-3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1.4319999999999999E-3</v>
      </c>
      <c r="I85" s="101">
        <f>ROUND(F85*H85,2)</f>
        <v>66304.06</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1.4300000000000001E-3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1.6169999999999999E-3</v>
      </c>
      <c r="I90" s="101">
        <f>ROUND(F90*H90,2)</f>
        <v>30926.560000000001</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1.6149999999999999E-3</v>
      </c>
      <c r="I92" s="101">
        <f t="shared" ref="I92:I96" si="14">ROUND(F92*H92,2)</f>
        <v>18590.849999999999</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1.3359999999999999E-3</v>
      </c>
      <c r="I94" s="101">
        <f t="shared" si="14"/>
        <v>341691.11</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1.3359999999999999E-3</v>
      </c>
      <c r="I96" s="101">
        <f t="shared" si="14"/>
        <v>-20633.259999999998</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1.4300000000000001E-3</v>
      </c>
      <c r="I98" s="101">
        <f t="shared" ref="I98" si="16">ROUND(F98*H98,2)</f>
        <v>8038.64</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124.6662</v>
      </c>
      <c r="D104" s="806"/>
      <c r="E104" s="46">
        <f>H8</f>
        <v>1.0407999999999999</v>
      </c>
      <c r="F104" s="302">
        <f>'1461'!F104</f>
        <v>950.92</v>
      </c>
      <c r="G104" s="39" t="s">
        <v>12</v>
      </c>
      <c r="H104" s="101">
        <f>ROUND(C104*E104*F104,2)</f>
        <v>123384.32000000001</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192.73780000000002</v>
      </c>
      <c r="D105" s="806"/>
      <c r="E105" s="46">
        <f>H8</f>
        <v>1.0407999999999999</v>
      </c>
      <c r="F105" s="302">
        <f>'1461'!F105</f>
        <v>907.92</v>
      </c>
      <c r="G105" s="39" t="s">
        <v>12</v>
      </c>
      <c r="H105" s="101">
        <f>ROUND(C105*E105*F105,2)</f>
        <v>182130.12</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317.404</v>
      </c>
      <c r="D107" s="796"/>
      <c r="E107" s="123"/>
      <c r="F107" s="123"/>
      <c r="G107" s="123"/>
      <c r="H107" s="124" t="s">
        <v>100</v>
      </c>
      <c r="I107" s="101">
        <f>IF(A1=75,0,H106+H105+H104)</f>
        <v>305514.44</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v>0</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0</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0</v>
      </c>
      <c r="I135" s="94">
        <f>ROUND(IF(E30=0,0,IF(E30&gt;250,-(((250/E30)*H135)*IF(G135="H",0.02,0.05)),IF(G135="H",-0.02*H135,-0.05*H135))),2)</f>
        <v>0</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Payments'!Q97</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v>0</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356</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236.41</v>
      </c>
      <c r="D18" s="143">
        <v>0</v>
      </c>
      <c r="E18" s="116">
        <f t="shared" si="1"/>
        <v>472.82</v>
      </c>
      <c r="F18" s="833">
        <f>'1461'!F18:G18</f>
        <v>0.97799999999999998</v>
      </c>
      <c r="G18" s="833"/>
      <c r="H18" s="80">
        <f t="shared" si="2"/>
        <v>462.41800000000001</v>
      </c>
      <c r="I18" s="101">
        <f t="shared" si="3"/>
        <v>2565718.87</v>
      </c>
      <c r="N18" s="834" t="s">
        <v>24</v>
      </c>
      <c r="O18" s="834"/>
      <c r="P18" s="831">
        <f t="shared" si="0"/>
        <v>0</v>
      </c>
      <c r="Q18" s="831"/>
      <c r="R18" s="835">
        <v>1</v>
      </c>
      <c r="S18" s="835"/>
      <c r="T18" s="95">
        <f t="shared" si="4"/>
        <v>0</v>
      </c>
      <c r="U18" s="524">
        <f t="shared" si="5"/>
        <v>0</v>
      </c>
    </row>
    <row r="19" spans="1:21" x14ac:dyDescent="0.25">
      <c r="A19" s="788" t="s">
        <v>25</v>
      </c>
      <c r="B19" s="788"/>
      <c r="C19" s="143">
        <v>46.43</v>
      </c>
      <c r="D19" s="143">
        <v>0</v>
      </c>
      <c r="E19" s="116">
        <f t="shared" si="1"/>
        <v>92.86</v>
      </c>
      <c r="F19" s="833">
        <f>'1461'!F19:G19</f>
        <v>0.97799999999999998</v>
      </c>
      <c r="G19" s="833"/>
      <c r="H19" s="80">
        <f t="shared" si="2"/>
        <v>90.817099999999996</v>
      </c>
      <c r="I19" s="101">
        <f t="shared" si="3"/>
        <v>503897.22</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32.700000000000003</v>
      </c>
      <c r="D28" s="143">
        <v>0</v>
      </c>
      <c r="E28" s="116">
        <f t="shared" si="1"/>
        <v>65.400000000000006</v>
      </c>
      <c r="F28" s="833">
        <f>'1461'!F28:G28</f>
        <v>1.1919999999999999</v>
      </c>
      <c r="G28" s="833"/>
      <c r="H28" s="80">
        <f t="shared" si="2"/>
        <v>77.956800000000001</v>
      </c>
      <c r="I28" s="101">
        <f t="shared" si="3"/>
        <v>432542.06</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315.53999999999996</v>
      </c>
      <c r="D30" s="94">
        <f>SUM(D14:D29)</f>
        <v>0</v>
      </c>
      <c r="E30" s="94">
        <f>SUM(E14:E29)</f>
        <v>631.07999999999993</v>
      </c>
      <c r="F30" s="792"/>
      <c r="G30" s="792"/>
      <c r="H30" s="99">
        <f>SUM(H14:H29)</f>
        <v>631.19190000000003</v>
      </c>
      <c r="I30" s="94">
        <f>SUM(I14:I29)</f>
        <v>3502158.15</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631.19190000000003</v>
      </c>
      <c r="F46" s="34"/>
      <c r="G46" s="106"/>
      <c r="H46" s="107" t="s">
        <v>98</v>
      </c>
      <c r="I46" s="94">
        <f>SUM(I44,I30)</f>
        <v>3502158.15</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3" t="s">
        <v>577</v>
      </c>
      <c r="C51" s="26"/>
      <c r="D51" s="26"/>
      <c r="E51" s="43" t="s">
        <v>461</v>
      </c>
      <c r="F51" s="452">
        <v>3681214.3800000004</v>
      </c>
      <c r="G51" s="109" t="s">
        <v>6</v>
      </c>
      <c r="H51" s="453">
        <v>5.5899999999999998E-2</v>
      </c>
      <c r="I51" s="101">
        <f>ROUND(F51*H51,2)</f>
        <v>205779.88</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3681214.3800000004</v>
      </c>
      <c r="G52" s="109" t="s">
        <v>6</v>
      </c>
      <c r="H52" s="453">
        <v>1.0699999999999999E-2</v>
      </c>
      <c r="I52" s="101">
        <f>ROUND(F52*H52,2)</f>
        <v>39388.99</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245168.87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43.92</v>
      </c>
      <c r="D63" s="143">
        <v>0</v>
      </c>
      <c r="E63" s="116">
        <f t="shared" si="10"/>
        <v>87.84</v>
      </c>
      <c r="F63" s="495" t="s">
        <v>14</v>
      </c>
      <c r="G63" s="494">
        <v>251</v>
      </c>
      <c r="H63" s="508">
        <f>'1461'!H63</f>
        <v>835</v>
      </c>
      <c r="I63" s="101">
        <f t="shared" si="11"/>
        <v>73346.399999999994</v>
      </c>
      <c r="N63" s="849"/>
      <c r="O63" s="849"/>
      <c r="P63" s="851"/>
      <c r="Q63" s="851"/>
      <c r="R63" s="40" t="s">
        <v>14</v>
      </c>
      <c r="S63" s="500">
        <v>251</v>
      </c>
      <c r="T63" s="511">
        <f t="shared" si="12"/>
        <v>835</v>
      </c>
      <c r="U63" s="525">
        <f t="shared" si="13"/>
        <v>0</v>
      </c>
      <c r="V63" s="475"/>
    </row>
    <row r="64" spans="1:22" x14ac:dyDescent="0.25">
      <c r="A64" s="799"/>
      <c r="B64" s="799"/>
      <c r="C64" s="143">
        <v>2.5099999999999998</v>
      </c>
      <c r="D64" s="143">
        <v>0</v>
      </c>
      <c r="E64" s="116">
        <f t="shared" si="10"/>
        <v>5.0199999999999996</v>
      </c>
      <c r="F64" s="495" t="s">
        <v>14</v>
      </c>
      <c r="G64" s="494">
        <v>252</v>
      </c>
      <c r="H64" s="508">
        <f>'1461'!H64</f>
        <v>3168</v>
      </c>
      <c r="I64" s="101">
        <f t="shared" si="11"/>
        <v>15903.36</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46.43</v>
      </c>
      <c r="D66" s="97">
        <f>SUM(D57:D65)</f>
        <v>0</v>
      </c>
      <c r="E66" s="97">
        <f>SUM(E57:E65)</f>
        <v>92.86</v>
      </c>
      <c r="F66" s="800" t="s">
        <v>507</v>
      </c>
      <c r="G66" s="800"/>
      <c r="H66" s="800"/>
      <c r="I66" s="97">
        <f>SUM(I57:I65)</f>
        <v>89249.76</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631.07999999999993</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2.9919999999999999E-3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631.19190000000003</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2.6570000000000001E-3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631.07999999999993</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3.3779999999999999E-3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631.07999999999993</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2.996E-3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631.07999999999993</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3.3830000000000002E-3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2.996E-3</v>
      </c>
      <c r="I85" s="101">
        <f>ROUND(F85*H85,2)</f>
        <v>138719.94</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2.9919999999999999E-3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3.3830000000000002E-3</v>
      </c>
      <c r="I90" s="101">
        <f>ROUND(F90*H90,2)</f>
        <v>64702.89</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3.3779999999999999E-3</v>
      </c>
      <c r="I92" s="101">
        <f t="shared" ref="I92:I96" si="14">ROUND(F92*H92,2)</f>
        <v>38885.379999999997</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2.6570000000000001E-3</v>
      </c>
      <c r="I94" s="101">
        <f t="shared" si="14"/>
        <v>679545.86</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2.6570000000000001E-3</v>
      </c>
      <c r="I96" s="101">
        <f t="shared" si="14"/>
        <v>-41034.85</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2.9919999999999999E-3</v>
      </c>
      <c r="I98" s="101">
        <f t="shared" ref="I98" si="16">ROUND(F98*H98,2)</f>
        <v>16819.3</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631.19190000000003</v>
      </c>
      <c r="D106" s="806"/>
      <c r="E106" s="46">
        <f>H8</f>
        <v>1.0407999999999999</v>
      </c>
      <c r="F106" s="302">
        <f>'1461'!F106</f>
        <v>910.12</v>
      </c>
      <c r="G106" s="39" t="s">
        <v>12</v>
      </c>
      <c r="H106" s="94">
        <f>ROUND(C106*E106*F106,2)</f>
        <v>597898.36</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631.19190000000003</v>
      </c>
      <c r="D107" s="796"/>
      <c r="E107" s="123"/>
      <c r="F107" s="123"/>
      <c r="G107" s="123"/>
      <c r="H107" s="124" t="s">
        <v>100</v>
      </c>
      <c r="I107" s="101">
        <f>IF(A1=75,0,H106+H105+H104)</f>
        <v>597898.36</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46</v>
      </c>
      <c r="D113" s="143">
        <v>0</v>
      </c>
      <c r="E113" s="116">
        <f>C113</f>
        <v>46</v>
      </c>
      <c r="F113" s="126" t="s">
        <v>30</v>
      </c>
      <c r="G113" s="303">
        <f>'1461'!G113</f>
        <v>607</v>
      </c>
      <c r="I113" s="101">
        <f>ROUND(G113*E113,2)</f>
        <v>27922</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5114866.79</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4869697.92</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4869697.92</v>
      </c>
      <c r="I135" s="94">
        <f>ROUND(IF(E30=0,0,IF(E30&gt;250,-(((250/E30)*H135)*IF(G135="H",0.02,0.05)),IF(G135="H",-0.02*H135,-0.05*H135))),2)</f>
        <v>-96455.64</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5018411.1500000004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Payments'!Q98</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5018411.1500000004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418200.93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147029.26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128</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91.07</v>
      </c>
      <c r="D14" s="141">
        <v>0</v>
      </c>
      <c r="E14" s="187">
        <f>IF(D$30=0,C14*2,C14+D14)</f>
        <v>182.14</v>
      </c>
      <c r="F14" s="829">
        <f>'1461'!F14:G14</f>
        <v>1.1180000000000001</v>
      </c>
      <c r="G14" s="829"/>
      <c r="H14" s="145">
        <f>ROUND(E14*F14,4)</f>
        <v>203.63249999999999</v>
      </c>
      <c r="I14" s="111">
        <f>ROUND(ROUND(ROUND(H14*$C$8,4)*($H$8),2)*(MAX($H$9,1)),2)</f>
        <v>1129851.6599999999</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14</v>
      </c>
      <c r="D15" s="143">
        <v>0</v>
      </c>
      <c r="E15" s="116">
        <f t="shared" ref="E15:E29" si="1">IF(D$30=0,C15*2,C15+D15)</f>
        <v>28</v>
      </c>
      <c r="F15" s="833">
        <f>'1461'!F15:G15</f>
        <v>1.1180000000000001</v>
      </c>
      <c r="G15" s="833"/>
      <c r="H15" s="80">
        <f t="shared" ref="H15:H29" si="2">ROUND(E15*F15,4)</f>
        <v>31.303999999999998</v>
      </c>
      <c r="I15" s="101">
        <f t="shared" ref="I15:I29" si="3">ROUND(ROUND(ROUND(H15*$C$8,4)*($H$8),2)*(MAX($H$9,1)),2)</f>
        <v>173689.74</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155.16999999999999</v>
      </c>
      <c r="D16" s="143">
        <v>0</v>
      </c>
      <c r="E16" s="116">
        <f t="shared" si="1"/>
        <v>310.33999999999997</v>
      </c>
      <c r="F16" s="833">
        <f>'1461'!F16:G16</f>
        <v>1</v>
      </c>
      <c r="G16" s="833"/>
      <c r="H16" s="80">
        <f t="shared" si="2"/>
        <v>310.33999999999997</v>
      </c>
      <c r="I16" s="101">
        <f t="shared" si="3"/>
        <v>1721916.52</v>
      </c>
      <c r="N16" s="834" t="s">
        <v>22</v>
      </c>
      <c r="O16" s="834"/>
      <c r="P16" s="831">
        <f t="shared" si="0"/>
        <v>0</v>
      </c>
      <c r="Q16" s="831"/>
      <c r="R16" s="835">
        <v>1</v>
      </c>
      <c r="S16" s="835"/>
      <c r="T16" s="95">
        <f t="shared" si="4"/>
        <v>0</v>
      </c>
      <c r="U16" s="524">
        <f t="shared" si="5"/>
        <v>0</v>
      </c>
    </row>
    <row r="17" spans="1:21" x14ac:dyDescent="0.25">
      <c r="A17" s="788" t="s">
        <v>23</v>
      </c>
      <c r="B17" s="788"/>
      <c r="C17" s="143">
        <v>22</v>
      </c>
      <c r="D17" s="143">
        <v>0</v>
      </c>
      <c r="E17" s="116">
        <f t="shared" si="1"/>
        <v>44</v>
      </c>
      <c r="F17" s="833">
        <f>'1461'!F17:G17</f>
        <v>1</v>
      </c>
      <c r="G17" s="833"/>
      <c r="H17" s="80">
        <f t="shared" si="2"/>
        <v>44</v>
      </c>
      <c r="I17" s="101">
        <f t="shared" si="3"/>
        <v>244133.3</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37.43</v>
      </c>
      <c r="D26" s="143">
        <v>0</v>
      </c>
      <c r="E26" s="116">
        <f t="shared" si="1"/>
        <v>74.86</v>
      </c>
      <c r="F26" s="833">
        <f>'1461'!F26:G26</f>
        <v>1.1919999999999999</v>
      </c>
      <c r="G26" s="833"/>
      <c r="H26" s="80">
        <f t="shared" si="2"/>
        <v>89.233099999999993</v>
      </c>
      <c r="I26" s="101">
        <f t="shared" si="3"/>
        <v>495108.43</v>
      </c>
      <c r="N26" s="834" t="s">
        <v>85</v>
      </c>
      <c r="O26" s="834"/>
      <c r="P26" s="831">
        <f t="shared" si="0"/>
        <v>0</v>
      </c>
      <c r="Q26" s="831"/>
      <c r="R26" s="835">
        <v>1</v>
      </c>
      <c r="S26" s="835"/>
      <c r="T26" s="95">
        <f t="shared" si="4"/>
        <v>0</v>
      </c>
      <c r="U26" s="524">
        <f t="shared" si="5"/>
        <v>0</v>
      </c>
    </row>
    <row r="27" spans="1:21" x14ac:dyDescent="0.25">
      <c r="A27" s="788" t="s">
        <v>86</v>
      </c>
      <c r="B27" s="788"/>
      <c r="C27" s="143">
        <v>21.33</v>
      </c>
      <c r="D27" s="143">
        <v>0</v>
      </c>
      <c r="E27" s="116">
        <f t="shared" si="1"/>
        <v>42.66</v>
      </c>
      <c r="F27" s="833">
        <f>'1461'!F27:G27</f>
        <v>1.1919999999999999</v>
      </c>
      <c r="G27" s="833"/>
      <c r="H27" s="80">
        <f t="shared" si="2"/>
        <v>50.850700000000003</v>
      </c>
      <c r="I27" s="101">
        <f t="shared" si="3"/>
        <v>282144.28999999998</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341</v>
      </c>
      <c r="D30" s="94">
        <f>SUM(D14:D29)</f>
        <v>0</v>
      </c>
      <c r="E30" s="94">
        <f>SUM(E14:E29)</f>
        <v>682</v>
      </c>
      <c r="F30" s="792"/>
      <c r="G30" s="792"/>
      <c r="H30" s="99">
        <f>SUM(H14:H29)</f>
        <v>729.36029999999994</v>
      </c>
      <c r="I30" s="94">
        <f>SUM(I14:I29)</f>
        <v>4046843.94</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729.36029999999994</v>
      </c>
      <c r="F46" s="34"/>
      <c r="G46" s="106"/>
      <c r="H46" s="107" t="s">
        <v>98</v>
      </c>
      <c r="I46" s="94">
        <f>SUM(I44,I30)</f>
        <v>4046843.94</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4185520.5300000003</v>
      </c>
      <c r="G51" s="109" t="s">
        <v>6</v>
      </c>
      <c r="H51" s="453">
        <v>5.5899999999999998E-2</v>
      </c>
      <c r="I51" s="101">
        <f>ROUND(F51*H51,2)</f>
        <v>233970.6</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4185520.5300000003</v>
      </c>
      <c r="G52" s="109" t="s">
        <v>6</v>
      </c>
      <c r="H52" s="453">
        <v>1.0699999999999999E-2</v>
      </c>
      <c r="I52" s="101">
        <f>ROUND(F52*H52,2)</f>
        <v>44785.07</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278755.67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9.5</v>
      </c>
      <c r="D57" s="143">
        <v>0</v>
      </c>
      <c r="E57" s="116">
        <f t="shared" ref="E57:E65" si="10">IF(D$66=0,C57*2,C57+D57)</f>
        <v>19</v>
      </c>
      <c r="F57" s="494" t="s">
        <v>498</v>
      </c>
      <c r="G57" s="494">
        <v>251</v>
      </c>
      <c r="H57" s="508">
        <f>'1461'!H57</f>
        <v>1047</v>
      </c>
      <c r="I57" s="101">
        <f>ROUND(E57*H57,2)</f>
        <v>19893</v>
      </c>
      <c r="N57" s="848" t="s">
        <v>506</v>
      </c>
      <c r="O57" s="848"/>
      <c r="P57" s="850"/>
      <c r="Q57" s="850"/>
      <c r="R57" s="500" t="s">
        <v>498</v>
      </c>
      <c r="S57" s="500">
        <v>251</v>
      </c>
      <c r="T57" s="511">
        <f>H57</f>
        <v>1047</v>
      </c>
      <c r="U57" s="525">
        <f>ROUND(P57*T57,2)</f>
        <v>0</v>
      </c>
      <c r="V57" s="475"/>
    </row>
    <row r="58" spans="1:22" x14ac:dyDescent="0.25">
      <c r="A58" s="799"/>
      <c r="B58" s="799"/>
      <c r="C58" s="143">
        <v>2.5</v>
      </c>
      <c r="D58" s="143">
        <v>0</v>
      </c>
      <c r="E58" s="116">
        <f t="shared" si="10"/>
        <v>5</v>
      </c>
      <c r="F58" s="494" t="s">
        <v>498</v>
      </c>
      <c r="G58" s="494">
        <v>252</v>
      </c>
      <c r="H58" s="508">
        <f>'1461'!H58</f>
        <v>3380</v>
      </c>
      <c r="I58" s="101">
        <f t="shared" ref="I58:I65" si="11">ROUND(E58*H58,2)</f>
        <v>16900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2</v>
      </c>
      <c r="D59" s="143">
        <v>0</v>
      </c>
      <c r="E59" s="116">
        <f t="shared" si="10"/>
        <v>4</v>
      </c>
      <c r="F59" s="494" t="s">
        <v>498</v>
      </c>
      <c r="G59" s="494">
        <v>253</v>
      </c>
      <c r="H59" s="508">
        <f>'1461'!H59</f>
        <v>6896</v>
      </c>
      <c r="I59" s="101">
        <f t="shared" si="11"/>
        <v>27584</v>
      </c>
      <c r="N59" s="849"/>
      <c r="O59" s="849"/>
      <c r="P59" s="851"/>
      <c r="Q59" s="851"/>
      <c r="R59" s="500" t="s">
        <v>498</v>
      </c>
      <c r="S59" s="500">
        <v>253</v>
      </c>
      <c r="T59" s="511">
        <f t="shared" si="12"/>
        <v>6896</v>
      </c>
      <c r="U59" s="525">
        <f t="shared" si="13"/>
        <v>0</v>
      </c>
      <c r="V59" s="475"/>
    </row>
    <row r="60" spans="1:22" x14ac:dyDescent="0.25">
      <c r="A60" s="799"/>
      <c r="B60" s="799"/>
      <c r="C60" s="143">
        <v>20</v>
      </c>
      <c r="D60" s="143">
        <v>0</v>
      </c>
      <c r="E60" s="116">
        <f t="shared" si="10"/>
        <v>40</v>
      </c>
      <c r="F60" s="495" t="s">
        <v>13</v>
      </c>
      <c r="G60" s="494">
        <v>251</v>
      </c>
      <c r="H60" s="508">
        <f>'1461'!H60</f>
        <v>1173</v>
      </c>
      <c r="I60" s="101">
        <f t="shared" si="11"/>
        <v>46920</v>
      </c>
      <c r="N60" s="849"/>
      <c r="O60" s="849"/>
      <c r="P60" s="851"/>
      <c r="Q60" s="851"/>
      <c r="R60" s="40" t="s">
        <v>13</v>
      </c>
      <c r="S60" s="500">
        <v>251</v>
      </c>
      <c r="T60" s="511">
        <f t="shared" si="12"/>
        <v>1173</v>
      </c>
      <c r="U60" s="525">
        <f t="shared" si="13"/>
        <v>0</v>
      </c>
      <c r="V60" s="475"/>
    </row>
    <row r="61" spans="1:22" x14ac:dyDescent="0.25">
      <c r="A61" s="799"/>
      <c r="B61" s="799"/>
      <c r="C61" s="143">
        <v>2</v>
      </c>
      <c r="D61" s="143">
        <v>0</v>
      </c>
      <c r="E61" s="116">
        <f t="shared" si="10"/>
        <v>4</v>
      </c>
      <c r="F61" s="495" t="s">
        <v>13</v>
      </c>
      <c r="G61" s="494">
        <v>252</v>
      </c>
      <c r="H61" s="508">
        <f>'1461'!H61</f>
        <v>3506</v>
      </c>
      <c r="I61" s="101">
        <f t="shared" si="11"/>
        <v>14024</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36</v>
      </c>
      <c r="D66" s="97">
        <f>SUM(D57:D65)</f>
        <v>0</v>
      </c>
      <c r="E66" s="97">
        <f>SUM(E57:E65)</f>
        <v>72</v>
      </c>
      <c r="F66" s="800" t="s">
        <v>507</v>
      </c>
      <c r="G66" s="800"/>
      <c r="H66" s="800"/>
      <c r="I66" s="97">
        <f>SUM(I57:I65)</f>
        <v>125321</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682</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3.2330000000000002E-3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729.36029999999994</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3.0699999999999998E-3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682</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3.65E-3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682</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3.238E-3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682</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3.656E-3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3.238E-3</v>
      </c>
      <c r="I85" s="101">
        <f>ROUND(F85*H85,2)</f>
        <v>149924.96</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3.2330000000000002E-3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3.656E-3</v>
      </c>
      <c r="I90" s="101">
        <f>ROUND(F90*H90,2)</f>
        <v>69924.25</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3.65E-3</v>
      </c>
      <c r="I92" s="101">
        <f t="shared" ref="I92:I96" si="14">ROUND(F92*H92,2)</f>
        <v>42016.47</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3.0699999999999998E-3</v>
      </c>
      <c r="I94" s="101">
        <f t="shared" si="14"/>
        <v>785173.43</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3.0699999999999998E-3</v>
      </c>
      <c r="I96" s="101">
        <f t="shared" si="14"/>
        <v>-47413.25</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3.2330000000000002E-3</v>
      </c>
      <c r="I98" s="101">
        <f t="shared" ref="I98" si="16">ROUND(F98*H98,2)</f>
        <v>18174.060000000001</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324.1696</v>
      </c>
      <c r="D104" s="806"/>
      <c r="E104" s="46">
        <f>H8</f>
        <v>1.0407999999999999</v>
      </c>
      <c r="F104" s="302">
        <f>'1461'!F104</f>
        <v>950.92</v>
      </c>
      <c r="G104" s="39" t="s">
        <v>12</v>
      </c>
      <c r="H104" s="101">
        <f>ROUND(C104*E104*F104,2)</f>
        <v>320836.34000000003</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405.19069999999999</v>
      </c>
      <c r="D105" s="806"/>
      <c r="E105" s="46">
        <f>H8</f>
        <v>1.0407999999999999</v>
      </c>
      <c r="F105" s="302">
        <f>'1461'!F105</f>
        <v>907.92</v>
      </c>
      <c r="G105" s="39" t="s">
        <v>12</v>
      </c>
      <c r="H105" s="101">
        <f>ROUND(C105*E105*F105,2)</f>
        <v>382890.27</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729.36030000000005</v>
      </c>
      <c r="D107" s="796"/>
      <c r="E107" s="123"/>
      <c r="F107" s="123"/>
      <c r="G107" s="123"/>
      <c r="H107" s="124" t="s">
        <v>100</v>
      </c>
      <c r="I107" s="101">
        <f>IF(A1=75,0,H106+H105+H104)</f>
        <v>703726.6100000001</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70</v>
      </c>
      <c r="D113" s="143">
        <v>0</v>
      </c>
      <c r="E113" s="116">
        <f>C113</f>
        <v>70</v>
      </c>
      <c r="F113" s="126" t="s">
        <v>30</v>
      </c>
      <c r="G113" s="303">
        <f>'1461'!G113</f>
        <v>607</v>
      </c>
      <c r="I113" s="101">
        <f>ROUND(G113*E113,2)</f>
        <v>42490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5936181.4699999997</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5657425.7999999998</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83" t="s">
        <v>561</v>
      </c>
      <c r="O132" s="884"/>
      <c r="P132" s="884"/>
      <c r="Q132" s="884"/>
      <c r="R132" s="884"/>
      <c r="S132" s="884"/>
      <c r="T132" s="884"/>
      <c r="U132" s="138"/>
    </row>
    <row r="133" spans="1:21" x14ac:dyDescent="0.25">
      <c r="A133" s="788" t="s">
        <v>70</v>
      </c>
      <c r="B133" s="788"/>
      <c r="C133" s="788"/>
      <c r="D133" s="788"/>
      <c r="E133" s="788"/>
      <c r="F133" s="788"/>
      <c r="G133" s="788"/>
      <c r="H133" s="70" t="str">
        <f>IF(E30=0,"",IF((E15+E17+SUM(E19:E25))/E30&gt;0.75,1,""))</f>
        <v/>
      </c>
      <c r="I133" s="116">
        <f>U130</f>
        <v>0</v>
      </c>
      <c r="N133" s="884" t="s">
        <v>70</v>
      </c>
      <c r="O133" s="884"/>
      <c r="P133" s="884"/>
      <c r="Q133" s="884"/>
      <c r="R133" s="884"/>
      <c r="S133" s="884"/>
      <c r="T133" s="8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5657425.7999999998</v>
      </c>
      <c r="I135" s="94">
        <f>ROUND(IF(E30=0,0,IF(E30&gt;250,-(((250/E30)*H135)*IF(G135="H",0.02,0.05)),IF(G135="H",-0.02*H135,-0.05*H135))),2)</f>
        <v>-103691.82</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5832489.6499999994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Payments'!Q99</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5832489.6499999994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486040.8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179179.47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129</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119.76</v>
      </c>
      <c r="D14" s="141">
        <v>0</v>
      </c>
      <c r="E14" s="187">
        <f>IF(D$30=0,C14*2,C14+D14)</f>
        <v>239.52</v>
      </c>
      <c r="F14" s="829">
        <f>'1461'!F14:G14</f>
        <v>1.1180000000000001</v>
      </c>
      <c r="G14" s="829"/>
      <c r="H14" s="145">
        <f>ROUND(E14*F14,4)</f>
        <v>267.78339999999997</v>
      </c>
      <c r="I14" s="111">
        <f>ROUND(ROUND(ROUND(H14*$C$8,4)*($H$8),2)*(MAX($H$9,1)),2)</f>
        <v>1485791.91</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15.5</v>
      </c>
      <c r="D15" s="143">
        <v>0</v>
      </c>
      <c r="E15" s="116">
        <f t="shared" ref="E15:E29" si="1">IF(D$30=0,C15*2,C15+D15)</f>
        <v>31</v>
      </c>
      <c r="F15" s="833">
        <f>'1461'!F15:G15</f>
        <v>1.1180000000000001</v>
      </c>
      <c r="G15" s="833"/>
      <c r="H15" s="80">
        <f t="shared" ref="H15:H29" si="2">ROUND(E15*F15,4)</f>
        <v>34.658000000000001</v>
      </c>
      <c r="I15" s="101">
        <f t="shared" ref="I15:I29" si="3">ROUND(ROUND(ROUND(H15*$C$8,4)*($H$8),2)*(MAX($H$9,1)),2)</f>
        <v>192299.36</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189.32</v>
      </c>
      <c r="D16" s="143">
        <v>0</v>
      </c>
      <c r="E16" s="116">
        <f t="shared" si="1"/>
        <v>378.64</v>
      </c>
      <c r="F16" s="833">
        <f>'1461'!F16:G16</f>
        <v>1</v>
      </c>
      <c r="G16" s="833"/>
      <c r="H16" s="80">
        <f t="shared" si="2"/>
        <v>378.64</v>
      </c>
      <c r="I16" s="101">
        <f t="shared" si="3"/>
        <v>2100877.98</v>
      </c>
      <c r="N16" s="834" t="s">
        <v>22</v>
      </c>
      <c r="O16" s="834"/>
      <c r="P16" s="831">
        <f t="shared" si="0"/>
        <v>0</v>
      </c>
      <c r="Q16" s="831"/>
      <c r="R16" s="835">
        <v>1</v>
      </c>
      <c r="S16" s="835"/>
      <c r="T16" s="95">
        <f t="shared" si="4"/>
        <v>0</v>
      </c>
      <c r="U16" s="524">
        <f t="shared" si="5"/>
        <v>0</v>
      </c>
    </row>
    <row r="17" spans="1:21" x14ac:dyDescent="0.25">
      <c r="A17" s="788" t="s">
        <v>23</v>
      </c>
      <c r="B17" s="788"/>
      <c r="C17" s="143">
        <v>26.5</v>
      </c>
      <c r="D17" s="143">
        <v>0</v>
      </c>
      <c r="E17" s="116">
        <f t="shared" si="1"/>
        <v>53</v>
      </c>
      <c r="F17" s="833">
        <f>'1461'!F17:G17</f>
        <v>1</v>
      </c>
      <c r="G17" s="833"/>
      <c r="H17" s="80">
        <f t="shared" si="2"/>
        <v>53</v>
      </c>
      <c r="I17" s="101">
        <f t="shared" si="3"/>
        <v>294069.65000000002</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95</v>
      </c>
      <c r="D26" s="143">
        <v>0</v>
      </c>
      <c r="E26" s="116">
        <f t="shared" si="1"/>
        <v>190</v>
      </c>
      <c r="F26" s="833">
        <f>'1461'!F26:G26</f>
        <v>1.1919999999999999</v>
      </c>
      <c r="G26" s="833"/>
      <c r="H26" s="80">
        <f t="shared" si="2"/>
        <v>226.48</v>
      </c>
      <c r="I26" s="101">
        <f t="shared" si="3"/>
        <v>1256620.6499999999</v>
      </c>
      <c r="N26" s="834" t="s">
        <v>85</v>
      </c>
      <c r="O26" s="834"/>
      <c r="P26" s="831">
        <f t="shared" si="0"/>
        <v>0</v>
      </c>
      <c r="Q26" s="831"/>
      <c r="R26" s="835">
        <v>1</v>
      </c>
      <c r="S26" s="835"/>
      <c r="T26" s="95">
        <f t="shared" si="4"/>
        <v>0</v>
      </c>
      <c r="U26" s="524">
        <f t="shared" si="5"/>
        <v>0</v>
      </c>
    </row>
    <row r="27" spans="1:21" x14ac:dyDescent="0.25">
      <c r="A27" s="788" t="s">
        <v>86</v>
      </c>
      <c r="B27" s="788"/>
      <c r="C27" s="143">
        <v>46</v>
      </c>
      <c r="D27" s="143">
        <v>0</v>
      </c>
      <c r="E27" s="116">
        <f t="shared" si="1"/>
        <v>92</v>
      </c>
      <c r="F27" s="833">
        <f>'1461'!F27:G27</f>
        <v>1.1919999999999999</v>
      </c>
      <c r="G27" s="833"/>
      <c r="H27" s="80">
        <f t="shared" si="2"/>
        <v>109.664</v>
      </c>
      <c r="I27" s="101">
        <f t="shared" si="3"/>
        <v>608468.94999999995</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492.08</v>
      </c>
      <c r="D30" s="94">
        <f>SUM(D14:D29)</f>
        <v>0</v>
      </c>
      <c r="E30" s="94">
        <f>SUM(E14:E29)</f>
        <v>984.16</v>
      </c>
      <c r="F30" s="792"/>
      <c r="G30" s="792"/>
      <c r="H30" s="99">
        <f>SUM(H14:H29)</f>
        <v>1070.2254</v>
      </c>
      <c r="I30" s="94">
        <f>SUM(I14:I29)</f>
        <v>5938128.5</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1070.2254</v>
      </c>
      <c r="F46" s="34"/>
      <c r="G46" s="106"/>
      <c r="H46" s="107" t="s">
        <v>98</v>
      </c>
      <c r="I46" s="94">
        <f>SUM(I44,I30)</f>
        <v>5938128.5</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6499560.1600000001</v>
      </c>
      <c r="G51" s="109" t="s">
        <v>6</v>
      </c>
      <c r="H51" s="453">
        <v>5.5899999999999998E-2</v>
      </c>
      <c r="I51" s="101">
        <f>ROUND(F51*H51,2)</f>
        <v>363325.41</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6499560.1600000001</v>
      </c>
      <c r="G52" s="109" t="s">
        <v>6</v>
      </c>
      <c r="H52" s="453">
        <v>1.0699999999999999E-2</v>
      </c>
      <c r="I52" s="101">
        <f>ROUND(F52*H52,2)</f>
        <v>69545.289999999994</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432870.69999999995</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10.5</v>
      </c>
      <c r="D57" s="143">
        <v>0</v>
      </c>
      <c r="E57" s="116">
        <f t="shared" ref="E57:E65" si="10">IF(D$66=0,C57*2,C57+D57)</f>
        <v>21</v>
      </c>
      <c r="F57" s="494" t="s">
        <v>498</v>
      </c>
      <c r="G57" s="494">
        <v>251</v>
      </c>
      <c r="H57" s="508">
        <f>'1461'!H57</f>
        <v>1047</v>
      </c>
      <c r="I57" s="101">
        <f>ROUND(E57*H57,2)</f>
        <v>21987</v>
      </c>
      <c r="N57" s="848" t="s">
        <v>506</v>
      </c>
      <c r="O57" s="848"/>
      <c r="P57" s="850"/>
      <c r="Q57" s="850"/>
      <c r="R57" s="500" t="s">
        <v>498</v>
      </c>
      <c r="S57" s="500">
        <v>251</v>
      </c>
      <c r="T57" s="511">
        <f>H57</f>
        <v>1047</v>
      </c>
      <c r="U57" s="525">
        <f>ROUND(P57*T57,2)</f>
        <v>0</v>
      </c>
      <c r="V57" s="475"/>
    </row>
    <row r="58" spans="1:22" x14ac:dyDescent="0.25">
      <c r="A58" s="799"/>
      <c r="B58" s="799"/>
      <c r="C58" s="143">
        <v>5</v>
      </c>
      <c r="D58" s="143">
        <v>0</v>
      </c>
      <c r="E58" s="116">
        <f t="shared" si="10"/>
        <v>10</v>
      </c>
      <c r="F58" s="494" t="s">
        <v>498</v>
      </c>
      <c r="G58" s="494">
        <v>252</v>
      </c>
      <c r="H58" s="508">
        <f>'1461'!H58</f>
        <v>3380</v>
      </c>
      <c r="I58" s="101">
        <f t="shared" ref="I58:I65" si="11">ROUND(E58*H58,2)</f>
        <v>33800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23.5</v>
      </c>
      <c r="D60" s="143">
        <v>0</v>
      </c>
      <c r="E60" s="116">
        <f t="shared" si="10"/>
        <v>47</v>
      </c>
      <c r="F60" s="495" t="s">
        <v>13</v>
      </c>
      <c r="G60" s="494">
        <v>251</v>
      </c>
      <c r="H60" s="508">
        <f>'1461'!H60</f>
        <v>1173</v>
      </c>
      <c r="I60" s="101">
        <f t="shared" si="11"/>
        <v>55131</v>
      </c>
      <c r="N60" s="849"/>
      <c r="O60" s="849"/>
      <c r="P60" s="851"/>
      <c r="Q60" s="851"/>
      <c r="R60" s="40" t="s">
        <v>13</v>
      </c>
      <c r="S60" s="500">
        <v>251</v>
      </c>
      <c r="T60" s="511">
        <f t="shared" si="12"/>
        <v>1173</v>
      </c>
      <c r="U60" s="525">
        <f t="shared" si="13"/>
        <v>0</v>
      </c>
      <c r="V60" s="475"/>
    </row>
    <row r="61" spans="1:22" x14ac:dyDescent="0.25">
      <c r="A61" s="799"/>
      <c r="B61" s="799"/>
      <c r="C61" s="143">
        <v>3</v>
      </c>
      <c r="D61" s="143">
        <v>0</v>
      </c>
      <c r="E61" s="116">
        <f t="shared" si="10"/>
        <v>6</v>
      </c>
      <c r="F61" s="495" t="s">
        <v>13</v>
      </c>
      <c r="G61" s="494">
        <v>252</v>
      </c>
      <c r="H61" s="508">
        <f>'1461'!H61</f>
        <v>3506</v>
      </c>
      <c r="I61" s="101">
        <f t="shared" si="11"/>
        <v>21036</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42</v>
      </c>
      <c r="D66" s="97">
        <f>SUM(D57:D65)</f>
        <v>0</v>
      </c>
      <c r="E66" s="97">
        <f>SUM(E57:E65)</f>
        <v>84</v>
      </c>
      <c r="F66" s="800" t="s">
        <v>507</v>
      </c>
      <c r="G66" s="800"/>
      <c r="H66" s="800"/>
      <c r="I66" s="97">
        <f>SUM(I57:I65)</f>
        <v>131954</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984.16</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4.666E-3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1070.2254</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4.5040000000000002E-3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984.16</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5.2680000000000001E-3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984.16</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4.6719999999999999E-3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984.16</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5.2760000000000003E-3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4.6719999999999999E-3</v>
      </c>
      <c r="I85" s="101">
        <f>ROUND(F85*H85,2)</f>
        <v>216321.62</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4.666E-3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5.2760000000000003E-3</v>
      </c>
      <c r="I90" s="101">
        <f>ROUND(F90*H90,2)</f>
        <v>100908.2</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5.2680000000000001E-3</v>
      </c>
      <c r="I92" s="101">
        <f t="shared" ref="I92:I96" si="14">ROUND(F92*H92,2)</f>
        <v>60641.86</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4.5040000000000002E-3</v>
      </c>
      <c r="I94" s="101">
        <f t="shared" si="14"/>
        <v>1151928.7</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4.5040000000000002E-3</v>
      </c>
      <c r="I96" s="101">
        <f t="shared" si="14"/>
        <v>-69560.02</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4.666E-3</v>
      </c>
      <c r="I98" s="101">
        <f t="shared" ref="I98" si="16">ROUND(F98*H98,2)</f>
        <v>26229.56</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528.92139999999995</v>
      </c>
      <c r="D104" s="806"/>
      <c r="E104" s="46">
        <f>H8</f>
        <v>1.0407999999999999</v>
      </c>
      <c r="F104" s="302">
        <f>'1461'!F104</f>
        <v>950.92</v>
      </c>
      <c r="G104" s="39" t="s">
        <v>12</v>
      </c>
      <c r="H104" s="101">
        <f>ROUND(C104*E104*F104,2)</f>
        <v>523482.78</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541.30399999999997</v>
      </c>
      <c r="D105" s="806"/>
      <c r="E105" s="46">
        <f>H8</f>
        <v>1.0407999999999999</v>
      </c>
      <c r="F105" s="302">
        <f>'1461'!F105</f>
        <v>907.92</v>
      </c>
      <c r="G105" s="39" t="s">
        <v>12</v>
      </c>
      <c r="H105" s="101">
        <f>ROUND(C105*E105*F105,2)</f>
        <v>511512.33</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1070.2253999999998</v>
      </c>
      <c r="D107" s="796"/>
      <c r="E107" s="123"/>
      <c r="F107" s="123"/>
      <c r="G107" s="123"/>
      <c r="H107" s="124" t="s">
        <v>100</v>
      </c>
      <c r="I107" s="101">
        <f>IF(A1=75,0,H106+H105+H104)</f>
        <v>1034995.1100000001</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8591547.5300000012</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8158676.830000001</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8158676.830000001</v>
      </c>
      <c r="I135" s="94">
        <f>ROUND(IF(E30=0,0,IF(E30&gt;250,-(((250/E30)*H135)*IF(G135="H",0.02,0.05)),IF(G135="H",-0.02*H135,-0.05*H135))),2)</f>
        <v>-103624.88</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8487922.6500000004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Payments'!Q100</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8487922.6500000004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707326.89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304308.96000000002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130</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248.07</v>
      </c>
      <c r="D16" s="143">
        <v>0</v>
      </c>
      <c r="E16" s="116">
        <f t="shared" si="1"/>
        <v>496.14</v>
      </c>
      <c r="F16" s="833">
        <f>'1461'!F16:G16</f>
        <v>1</v>
      </c>
      <c r="G16" s="833"/>
      <c r="H16" s="80">
        <f t="shared" si="2"/>
        <v>496.14</v>
      </c>
      <c r="I16" s="101">
        <f t="shared" si="3"/>
        <v>2752824.84</v>
      </c>
      <c r="N16" s="834" t="s">
        <v>22</v>
      </c>
      <c r="O16" s="834"/>
      <c r="P16" s="831">
        <f t="shared" si="0"/>
        <v>0</v>
      </c>
      <c r="Q16" s="831"/>
      <c r="R16" s="835">
        <v>1</v>
      </c>
      <c r="S16" s="835"/>
      <c r="T16" s="95">
        <f t="shared" si="4"/>
        <v>0</v>
      </c>
      <c r="U16" s="524">
        <f t="shared" si="5"/>
        <v>0</v>
      </c>
    </row>
    <row r="17" spans="1:21" x14ac:dyDescent="0.25">
      <c r="A17" s="788" t="s">
        <v>23</v>
      </c>
      <c r="B17" s="788"/>
      <c r="C17" s="143">
        <v>44.5</v>
      </c>
      <c r="D17" s="143">
        <v>0</v>
      </c>
      <c r="E17" s="116">
        <f t="shared" si="1"/>
        <v>89</v>
      </c>
      <c r="F17" s="833">
        <f>'1461'!F17:G17</f>
        <v>1</v>
      </c>
      <c r="G17" s="833"/>
      <c r="H17" s="80">
        <f t="shared" si="2"/>
        <v>89</v>
      </c>
      <c r="I17" s="101">
        <f t="shared" si="3"/>
        <v>493815.07</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5.51</v>
      </c>
      <c r="D27" s="143">
        <v>0</v>
      </c>
      <c r="E27" s="116">
        <f t="shared" si="1"/>
        <v>11.02</v>
      </c>
      <c r="F27" s="833">
        <f>'1461'!F27:G27</f>
        <v>1.1919999999999999</v>
      </c>
      <c r="G27" s="833"/>
      <c r="H27" s="80">
        <f t="shared" si="2"/>
        <v>13.1358</v>
      </c>
      <c r="I27" s="101">
        <f t="shared" si="3"/>
        <v>72883.78</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298.08</v>
      </c>
      <c r="D30" s="94">
        <f>SUM(D14:D29)</f>
        <v>0</v>
      </c>
      <c r="E30" s="94">
        <f>SUM(E14:E29)</f>
        <v>596.16</v>
      </c>
      <c r="F30" s="792"/>
      <c r="G30" s="792"/>
      <c r="H30" s="99">
        <f>SUM(H14:H29)</f>
        <v>598.2758</v>
      </c>
      <c r="I30" s="94">
        <f>SUM(I14:I29)</f>
        <v>3319523.6899999995</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598.2758</v>
      </c>
      <c r="F46" s="34"/>
      <c r="G46" s="106"/>
      <c r="H46" s="107" t="s">
        <v>98</v>
      </c>
      <c r="I46" s="94">
        <f>SUM(I44,I30)</f>
        <v>3319523.6899999995</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3639483.68</v>
      </c>
      <c r="G51" s="109" t="s">
        <v>6</v>
      </c>
      <c r="H51" s="453">
        <v>5.5899999999999998E-2</v>
      </c>
      <c r="I51" s="101">
        <f>ROUND(F51*H51,2)</f>
        <v>203447.14</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3639483.68</v>
      </c>
      <c r="G52" s="109" t="s">
        <v>6</v>
      </c>
      <c r="H52" s="453">
        <v>1.0699999999999999E-2</v>
      </c>
      <c r="I52" s="101">
        <f>ROUND(F52*H52,2)</f>
        <v>38942.480000000003</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242389.62000000002</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IF(D$72=0,C57*2,C57+D57)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41.49</v>
      </c>
      <c r="D60" s="143">
        <v>0</v>
      </c>
      <c r="E60" s="116">
        <f>IF(D$66=0,C60*2,C60+D60)</f>
        <v>82.98</v>
      </c>
      <c r="F60" s="495" t="s">
        <v>13</v>
      </c>
      <c r="G60" s="494">
        <v>251</v>
      </c>
      <c r="H60" s="508">
        <f>'1461'!H60</f>
        <v>1173</v>
      </c>
      <c r="I60" s="101">
        <f t="shared" si="11"/>
        <v>97335.54</v>
      </c>
      <c r="N60" s="849"/>
      <c r="O60" s="849"/>
      <c r="P60" s="851"/>
      <c r="Q60" s="851"/>
      <c r="R60" s="40" t="s">
        <v>13</v>
      </c>
      <c r="S60" s="500">
        <v>251</v>
      </c>
      <c r="T60" s="511">
        <f t="shared" si="12"/>
        <v>1173</v>
      </c>
      <c r="U60" s="525">
        <f t="shared" si="13"/>
        <v>0</v>
      </c>
      <c r="V60" s="475"/>
    </row>
    <row r="61" spans="1:22" x14ac:dyDescent="0.25">
      <c r="A61" s="799"/>
      <c r="B61" s="799"/>
      <c r="C61" s="143">
        <v>3.01</v>
      </c>
      <c r="D61" s="143">
        <v>0</v>
      </c>
      <c r="E61" s="116">
        <f>IF(D$66=0,C61*2,C61+D61)</f>
        <v>6.02</v>
      </c>
      <c r="F61" s="495" t="s">
        <v>13</v>
      </c>
      <c r="G61" s="494">
        <v>252</v>
      </c>
      <c r="H61" s="508">
        <f>'1461'!H61</f>
        <v>3506</v>
      </c>
      <c r="I61" s="101">
        <f t="shared" si="11"/>
        <v>21106.12</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IF(D$66=0,C62*2,C62+D62)</f>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44.5</v>
      </c>
      <c r="D66" s="97">
        <f>SUM(D57:D65)</f>
        <v>0</v>
      </c>
      <c r="E66" s="97">
        <f>SUM(E57:E65)</f>
        <v>89</v>
      </c>
      <c r="F66" s="800" t="s">
        <v>507</v>
      </c>
      <c r="G66" s="800"/>
      <c r="H66" s="800"/>
      <c r="I66" s="97">
        <f>SUM(I57:I65)</f>
        <v>118441.65999999999</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596.16</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2.826E-3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598.2758</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2.5179999999999998E-3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596.16</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3.1909999999999998E-3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596.16</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2.8300000000000001E-3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596.16</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3.1960000000000001E-3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2.8300000000000001E-3</v>
      </c>
      <c r="I85" s="101">
        <f>ROUND(F85*H85,2)</f>
        <v>131033.86</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2.826E-3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3.1960000000000001E-3</v>
      </c>
      <c r="I90" s="101">
        <f>ROUND(F90*H90,2)</f>
        <v>61126.34</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3.1909999999999998E-3</v>
      </c>
      <c r="I92" s="101">
        <f t="shared" ref="I92:I96" si="14">ROUND(F92*H92,2)</f>
        <v>36732.76</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2.5179999999999998E-3</v>
      </c>
      <c r="I94" s="101">
        <f t="shared" si="14"/>
        <v>643995.66</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2.5179999999999998E-3</v>
      </c>
      <c r="I96" s="101">
        <f t="shared" si="14"/>
        <v>-38888.129999999997</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2.826E-3</v>
      </c>
      <c r="I98" s="101">
        <f t="shared" ref="I98" si="16">ROUND(F98*H98,2)</f>
        <v>15886.14</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598.2758</v>
      </c>
      <c r="D105" s="806"/>
      <c r="E105" s="46">
        <f>H8</f>
        <v>1.0407999999999999</v>
      </c>
      <c r="F105" s="302">
        <f>'1461'!F105</f>
        <v>907.92</v>
      </c>
      <c r="G105" s="39" t="s">
        <v>12</v>
      </c>
      <c r="H105" s="101">
        <f>ROUND(C105*E105*F105,2)</f>
        <v>565348.57999999996</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598.2758</v>
      </c>
      <c r="D107" s="796"/>
      <c r="E107" s="123"/>
      <c r="F107" s="123"/>
      <c r="G107" s="123"/>
      <c r="H107" s="124" t="s">
        <v>100</v>
      </c>
      <c r="I107" s="101">
        <f>IF(A1=75,0,H106+H105+H104)</f>
        <v>565348.57999999996</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v>
      </c>
      <c r="D113" s="143">
        <v>0</v>
      </c>
      <c r="E113" s="116">
        <f>C113</f>
        <v>2</v>
      </c>
      <c r="F113" s="126" t="s">
        <v>30</v>
      </c>
      <c r="G113" s="303">
        <f>'1461'!G113</f>
        <v>607</v>
      </c>
      <c r="I113" s="101">
        <f>ROUND(G113*E113,2)</f>
        <v>1214</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4854414.5599999987</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4612024.9399999985</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4612024.9399999985</v>
      </c>
      <c r="I135" s="94">
        <f>ROUND(IF(E30=0,0,IF(E30&gt;250,-(((250/E30)*H135)*IF(G135="H",0.02,0.05)),IF(G135="H",-0.02*H135,-0.05*H135))),2)</f>
        <v>-38681.1</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4815733.459999999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Payments'!Q101</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4815733.459999999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401311.12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53559.4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131</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444.17</v>
      </c>
      <c r="D18" s="143">
        <v>0</v>
      </c>
      <c r="E18" s="116">
        <f t="shared" si="1"/>
        <v>888.34</v>
      </c>
      <c r="F18" s="833">
        <f>'1461'!F18:G18</f>
        <v>0.97799999999999998</v>
      </c>
      <c r="G18" s="833"/>
      <c r="H18" s="80">
        <f t="shared" si="2"/>
        <v>868.79650000000004</v>
      </c>
      <c r="I18" s="101">
        <f t="shared" si="3"/>
        <v>4820503.47</v>
      </c>
      <c r="N18" s="834" t="s">
        <v>24</v>
      </c>
      <c r="O18" s="834"/>
      <c r="P18" s="831">
        <f t="shared" si="0"/>
        <v>0</v>
      </c>
      <c r="Q18" s="831"/>
      <c r="R18" s="835">
        <v>1</v>
      </c>
      <c r="S18" s="835"/>
      <c r="T18" s="95">
        <f t="shared" si="4"/>
        <v>0</v>
      </c>
      <c r="U18" s="524">
        <f t="shared" si="5"/>
        <v>0</v>
      </c>
    </row>
    <row r="19" spans="1:21" x14ac:dyDescent="0.25">
      <c r="A19" s="788" t="s">
        <v>25</v>
      </c>
      <c r="B19" s="788"/>
      <c r="C19" s="143">
        <v>39.89</v>
      </c>
      <c r="D19" s="143">
        <v>0</v>
      </c>
      <c r="E19" s="116">
        <f t="shared" si="1"/>
        <v>79.78</v>
      </c>
      <c r="F19" s="833">
        <f>'1461'!F19:G19</f>
        <v>0.97799999999999998</v>
      </c>
      <c r="G19" s="833"/>
      <c r="H19" s="80">
        <f t="shared" si="2"/>
        <v>78.024799999999999</v>
      </c>
      <c r="I19" s="101">
        <f t="shared" si="3"/>
        <v>432919.35</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6.15</v>
      </c>
      <c r="D28" s="143">
        <v>0</v>
      </c>
      <c r="E28" s="116">
        <f t="shared" si="1"/>
        <v>12.3</v>
      </c>
      <c r="F28" s="833">
        <f>'1461'!F28:G28</f>
        <v>1.1919999999999999</v>
      </c>
      <c r="G28" s="833"/>
      <c r="H28" s="80">
        <f t="shared" si="2"/>
        <v>14.6616</v>
      </c>
      <c r="I28" s="101">
        <f t="shared" si="3"/>
        <v>81349.649999999994</v>
      </c>
      <c r="N28" s="834" t="s">
        <v>87</v>
      </c>
      <c r="O28" s="834"/>
      <c r="P28" s="831">
        <f t="shared" si="0"/>
        <v>0</v>
      </c>
      <c r="Q28" s="831"/>
      <c r="R28" s="835">
        <v>1</v>
      </c>
      <c r="S28" s="835"/>
      <c r="T28" s="95">
        <f t="shared" si="4"/>
        <v>0</v>
      </c>
      <c r="U28" s="524">
        <f t="shared" si="5"/>
        <v>0</v>
      </c>
    </row>
    <row r="29" spans="1:21" x14ac:dyDescent="0.25">
      <c r="A29" s="788" t="s">
        <v>88</v>
      </c>
      <c r="B29" s="788"/>
      <c r="C29" s="110">
        <v>20.46</v>
      </c>
      <c r="D29" s="110">
        <v>0</v>
      </c>
      <c r="E29" s="154">
        <f t="shared" si="1"/>
        <v>40.92</v>
      </c>
      <c r="F29" s="833">
        <f>'1461'!F29:G29</f>
        <v>1.079</v>
      </c>
      <c r="G29" s="833"/>
      <c r="H29" s="93">
        <f t="shared" si="2"/>
        <v>44.152700000000003</v>
      </c>
      <c r="I29" s="94">
        <f t="shared" si="3"/>
        <v>244980.55</v>
      </c>
      <c r="N29" s="836" t="s">
        <v>88</v>
      </c>
      <c r="O29" s="836"/>
      <c r="P29" s="831">
        <f t="shared" si="0"/>
        <v>0</v>
      </c>
      <c r="Q29" s="831"/>
      <c r="R29" s="837">
        <v>1</v>
      </c>
      <c r="S29" s="837"/>
      <c r="T29" s="95">
        <f t="shared" si="4"/>
        <v>0</v>
      </c>
      <c r="U29" s="524">
        <f t="shared" si="5"/>
        <v>0</v>
      </c>
    </row>
    <row r="30" spans="1:21" x14ac:dyDescent="0.25">
      <c r="A30" s="800" t="s">
        <v>5</v>
      </c>
      <c r="B30" s="800"/>
      <c r="C30" s="94">
        <f>SUM(C14:C29)</f>
        <v>510.66999999999996</v>
      </c>
      <c r="D30" s="94">
        <f>SUM(D14:D29)</f>
        <v>0</v>
      </c>
      <c r="E30" s="94">
        <f>SUM(E14:E29)</f>
        <v>1021.3399999999999</v>
      </c>
      <c r="F30" s="792"/>
      <c r="G30" s="792"/>
      <c r="H30" s="99">
        <f>SUM(H14:H29)</f>
        <v>1005.6356000000001</v>
      </c>
      <c r="I30" s="94">
        <f>SUM(I14:I29)</f>
        <v>5579753.0199999996</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1005.6356000000001</v>
      </c>
      <c r="F46" s="34"/>
      <c r="G46" s="106"/>
      <c r="H46" s="107" t="s">
        <v>98</v>
      </c>
      <c r="I46" s="94">
        <f>SUM(I44,I30)</f>
        <v>5579753.0199999996</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5466527.3399999999</v>
      </c>
      <c r="G51" s="109" t="s">
        <v>6</v>
      </c>
      <c r="H51" s="453">
        <v>5.5899999999999998E-2</v>
      </c>
      <c r="I51" s="101">
        <f>ROUND(F51*H51,2)</f>
        <v>305578.88</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5466527.3399999999</v>
      </c>
      <c r="G52" s="109" t="s">
        <v>6</v>
      </c>
      <c r="H52" s="453">
        <v>1.0699999999999999E-2</v>
      </c>
      <c r="I52" s="101">
        <f>ROUND(F52*H52,2)</f>
        <v>58491.839999999997</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364070.72</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36.880000000000003</v>
      </c>
      <c r="D63" s="143">
        <v>0</v>
      </c>
      <c r="E63" s="116">
        <f t="shared" si="10"/>
        <v>73.760000000000005</v>
      </c>
      <c r="F63" s="495" t="s">
        <v>14</v>
      </c>
      <c r="G63" s="494">
        <v>251</v>
      </c>
      <c r="H63" s="508">
        <f>'1461'!H63</f>
        <v>835</v>
      </c>
      <c r="I63" s="101">
        <f t="shared" si="11"/>
        <v>61589.599999999999</v>
      </c>
      <c r="N63" s="849"/>
      <c r="O63" s="849"/>
      <c r="P63" s="851"/>
      <c r="Q63" s="851"/>
      <c r="R63" s="40" t="s">
        <v>14</v>
      </c>
      <c r="S63" s="500">
        <v>251</v>
      </c>
      <c r="T63" s="511">
        <f t="shared" si="12"/>
        <v>835</v>
      </c>
      <c r="U63" s="525">
        <f t="shared" si="13"/>
        <v>0</v>
      </c>
      <c r="V63" s="475"/>
    </row>
    <row r="64" spans="1:22" x14ac:dyDescent="0.25">
      <c r="A64" s="799"/>
      <c r="B64" s="799"/>
      <c r="C64" s="143">
        <v>3.01</v>
      </c>
      <c r="D64" s="143">
        <v>0</v>
      </c>
      <c r="E64" s="116">
        <f t="shared" si="10"/>
        <v>6.02</v>
      </c>
      <c r="F64" s="495" t="s">
        <v>14</v>
      </c>
      <c r="G64" s="494">
        <v>252</v>
      </c>
      <c r="H64" s="508">
        <f>'1461'!H64</f>
        <v>3168</v>
      </c>
      <c r="I64" s="101">
        <f t="shared" si="11"/>
        <v>19071.36</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39.89</v>
      </c>
      <c r="D66" s="97">
        <f>SUM(D57:D65)</f>
        <v>0</v>
      </c>
      <c r="E66" s="97">
        <f>SUM(E57:E65)</f>
        <v>79.78</v>
      </c>
      <c r="F66" s="800" t="s">
        <v>507</v>
      </c>
      <c r="G66" s="800"/>
      <c r="H66" s="800"/>
      <c r="I66" s="97">
        <f>SUM(I57:I65)</f>
        <v>80660.959999999992</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1021.3399999999999</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4.8419999999999999E-3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1005.6356000000001</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4.2319999999999997E-3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1021.3399999999999</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5.4669999999999996E-3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1021.3399999999999</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4.849E-3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1021.3399999999999</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5.476E-3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4.849E-3</v>
      </c>
      <c r="I85" s="101">
        <f>ROUND(F85*H85,2)</f>
        <v>224517.03</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4.8419999999999999E-3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5.476E-3</v>
      </c>
      <c r="I90" s="101">
        <f>ROUND(F90*H90,2)</f>
        <v>104733.37</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5.4669999999999996E-3</v>
      </c>
      <c r="I92" s="101">
        <f t="shared" ref="I92:I96" si="14">ROUND(F92*H92,2)</f>
        <v>62932.62</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4.2319999999999997E-3</v>
      </c>
      <c r="I94" s="101">
        <f t="shared" si="14"/>
        <v>1082362.8500000001</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4.2319999999999997E-3</v>
      </c>
      <c r="I96" s="101">
        <f t="shared" si="14"/>
        <v>-65359.24</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4.8419999999999999E-3</v>
      </c>
      <c r="I98" s="101">
        <f t="shared" ref="I98" si="16">ROUND(F98*H98,2)</f>
        <v>27218.94</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1005.6356000000001</v>
      </c>
      <c r="D106" s="806"/>
      <c r="E106" s="46">
        <f>H8</f>
        <v>1.0407999999999999</v>
      </c>
      <c r="F106" s="302">
        <f>'1461'!F106</f>
        <v>910.12</v>
      </c>
      <c r="G106" s="39" t="s">
        <v>12</v>
      </c>
      <c r="H106" s="94">
        <f>ROUND(C106*E106*F106,2)</f>
        <v>952591.23</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1005.6356000000001</v>
      </c>
      <c r="D107" s="796"/>
      <c r="E107" s="123"/>
      <c r="F107" s="123"/>
      <c r="G107" s="123"/>
      <c r="H107" s="124" t="s">
        <v>100</v>
      </c>
      <c r="I107" s="101">
        <f>IF(A1=75,0,H106+H105+H104)</f>
        <v>952591.23</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8049410.7799999993</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7685340.0599999996</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425" t="s">
        <v>239</v>
      </c>
      <c r="H135" s="139">
        <f>IF(H133=1,I133,I130)</f>
        <v>7685340.0599999996</v>
      </c>
      <c r="I135" s="94">
        <f>ROUND(IF(E30=0,0,IF(E30&gt;250,-(((250/E30)*H135)*IF(G135="H",0.02,0.05)),IF(G135="H",-0.02*H135,-0.05*H135))),2)</f>
        <v>-37623.81</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8011786.9699999997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Payments'!Q102</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8011786.9699999997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667648.91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116082.99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365</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229.06</v>
      </c>
      <c r="D14" s="141">
        <v>0</v>
      </c>
      <c r="E14" s="187">
        <f>IF(D$30=0,C14*2,C14+D14)</f>
        <v>458.12</v>
      </c>
      <c r="F14" s="829">
        <f>'1461'!F14:G14</f>
        <v>1.1180000000000001</v>
      </c>
      <c r="G14" s="829"/>
      <c r="H14" s="145">
        <f>ROUND(E14*F14,4)</f>
        <v>512.17819999999995</v>
      </c>
      <c r="I14" s="111">
        <f>ROUND(ROUND(ROUND(H14*$C$8,4)*($H$8),2)*(MAX($H$9,1)),2)</f>
        <v>2841812.54</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32.5</v>
      </c>
      <c r="D15" s="143">
        <v>0</v>
      </c>
      <c r="E15" s="116">
        <f t="shared" ref="E15:E29" si="1">IF(D$30=0,C15*2,C15+D15)</f>
        <v>65</v>
      </c>
      <c r="F15" s="833">
        <f>'1461'!F15:G15</f>
        <v>1.1180000000000001</v>
      </c>
      <c r="G15" s="833"/>
      <c r="H15" s="80">
        <f t="shared" ref="H15:H29" si="2">ROUND(E15*F15,4)</f>
        <v>72.67</v>
      </c>
      <c r="I15" s="101">
        <f t="shared" ref="I15:I29" si="3">ROUND(ROUND(ROUND(H15*$C$8,4)*($H$8),2)*(MAX($H$9,1)),2)</f>
        <v>403208.33</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282.52999999999997</v>
      </c>
      <c r="D16" s="143">
        <v>0</v>
      </c>
      <c r="E16" s="116">
        <f t="shared" si="1"/>
        <v>565.05999999999995</v>
      </c>
      <c r="F16" s="833">
        <f>'1461'!F16:G16</f>
        <v>1</v>
      </c>
      <c r="G16" s="833"/>
      <c r="H16" s="80">
        <f t="shared" si="2"/>
        <v>565.05999999999995</v>
      </c>
      <c r="I16" s="101">
        <f t="shared" si="3"/>
        <v>3135226.36</v>
      </c>
      <c r="N16" s="834" t="s">
        <v>22</v>
      </c>
      <c r="O16" s="834"/>
      <c r="P16" s="831">
        <f t="shared" si="0"/>
        <v>0</v>
      </c>
      <c r="Q16" s="831"/>
      <c r="R16" s="835">
        <v>1</v>
      </c>
      <c r="S16" s="835"/>
      <c r="T16" s="95">
        <f t="shared" si="4"/>
        <v>0</v>
      </c>
      <c r="U16" s="524">
        <f t="shared" si="5"/>
        <v>0</v>
      </c>
    </row>
    <row r="17" spans="1:21" x14ac:dyDescent="0.25">
      <c r="A17" s="788" t="s">
        <v>23</v>
      </c>
      <c r="B17" s="788"/>
      <c r="C17" s="143">
        <v>42.5</v>
      </c>
      <c r="D17" s="143">
        <v>0</v>
      </c>
      <c r="E17" s="116">
        <f t="shared" si="1"/>
        <v>85</v>
      </c>
      <c r="F17" s="833">
        <f>'1461'!F17:G17</f>
        <v>1</v>
      </c>
      <c r="G17" s="833"/>
      <c r="H17" s="80">
        <f t="shared" si="2"/>
        <v>85</v>
      </c>
      <c r="I17" s="101">
        <f t="shared" si="3"/>
        <v>471621.14</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24.21</v>
      </c>
      <c r="D26" s="143">
        <v>0</v>
      </c>
      <c r="E26" s="116">
        <f t="shared" si="1"/>
        <v>48.42</v>
      </c>
      <c r="F26" s="833">
        <f>'1461'!F26:G26</f>
        <v>1.1919999999999999</v>
      </c>
      <c r="G26" s="833"/>
      <c r="H26" s="80">
        <f t="shared" si="2"/>
        <v>57.7166</v>
      </c>
      <c r="I26" s="101">
        <f t="shared" si="3"/>
        <v>320239.63</v>
      </c>
      <c r="N26" s="834" t="s">
        <v>85</v>
      </c>
      <c r="O26" s="834"/>
      <c r="P26" s="831">
        <f t="shared" si="0"/>
        <v>0</v>
      </c>
      <c r="Q26" s="831"/>
      <c r="R26" s="835">
        <v>1</v>
      </c>
      <c r="S26" s="835"/>
      <c r="T26" s="95">
        <f t="shared" si="4"/>
        <v>0</v>
      </c>
      <c r="U26" s="524">
        <f t="shared" si="5"/>
        <v>0</v>
      </c>
    </row>
    <row r="27" spans="1:21" x14ac:dyDescent="0.25">
      <c r="A27" s="788" t="s">
        <v>86</v>
      </c>
      <c r="B27" s="788"/>
      <c r="C27" s="143">
        <v>11.93</v>
      </c>
      <c r="D27" s="143">
        <v>0</v>
      </c>
      <c r="E27" s="116">
        <f t="shared" si="1"/>
        <v>23.86</v>
      </c>
      <c r="F27" s="833">
        <f>'1461'!F27:G27</f>
        <v>1.1919999999999999</v>
      </c>
      <c r="G27" s="833"/>
      <c r="H27" s="80">
        <f t="shared" si="2"/>
        <v>28.441099999999999</v>
      </c>
      <c r="I27" s="101">
        <f t="shared" si="3"/>
        <v>157804.99</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622.7299999999999</v>
      </c>
      <c r="D30" s="94">
        <f>SUM(D14:D29)</f>
        <v>0</v>
      </c>
      <c r="E30" s="94">
        <f>SUM(E14:E29)</f>
        <v>1245.4599999999998</v>
      </c>
      <c r="F30" s="792"/>
      <c r="G30" s="792"/>
      <c r="H30" s="99">
        <f>SUM(H14:H29)</f>
        <v>1321.0658999999998</v>
      </c>
      <c r="I30" s="94">
        <f>SUM(I14:I29)</f>
        <v>7329912.9900000002</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1321.0658999999998</v>
      </c>
      <c r="F46" s="34"/>
      <c r="G46" s="106"/>
      <c r="H46" s="107" t="s">
        <v>98</v>
      </c>
      <c r="I46" s="94">
        <f>SUM(I44,I30)</f>
        <v>7329912.9900000002</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6991619.7000000002</v>
      </c>
      <c r="G51" s="109" t="s">
        <v>6</v>
      </c>
      <c r="H51" s="453">
        <v>5.5899999999999998E-2</v>
      </c>
      <c r="I51" s="101">
        <f>ROUND(F51*H51,2)</f>
        <v>390831.54</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6991619.7000000002</v>
      </c>
      <c r="G52" s="109" t="s">
        <v>6</v>
      </c>
      <c r="H52" s="453">
        <v>1.0699999999999999E-2</v>
      </c>
      <c r="I52" s="101">
        <f>ROUND(F52*H52,2)</f>
        <v>74810.33</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465641.87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27.5</v>
      </c>
      <c r="D57" s="143">
        <v>0</v>
      </c>
      <c r="E57" s="116">
        <f t="shared" ref="E57:E65" si="10">IF(D$66=0,C57*2,C57+D57)</f>
        <v>55</v>
      </c>
      <c r="F57" s="494" t="s">
        <v>498</v>
      </c>
      <c r="G57" s="494">
        <v>251</v>
      </c>
      <c r="H57" s="508">
        <f>'1461'!H57</f>
        <v>1047</v>
      </c>
      <c r="I57" s="101">
        <f>ROUND(E57*H57,2)</f>
        <v>57585</v>
      </c>
      <c r="N57" s="848" t="s">
        <v>506</v>
      </c>
      <c r="O57" s="848"/>
      <c r="P57" s="850"/>
      <c r="Q57" s="850"/>
      <c r="R57" s="500" t="s">
        <v>498</v>
      </c>
      <c r="S57" s="500">
        <v>251</v>
      </c>
      <c r="T57" s="511">
        <f>H57</f>
        <v>1047</v>
      </c>
      <c r="U57" s="525">
        <f>ROUND(P57*T57,2)</f>
        <v>0</v>
      </c>
      <c r="V57" s="475"/>
    </row>
    <row r="58" spans="1:22" x14ac:dyDescent="0.25">
      <c r="A58" s="799"/>
      <c r="B58" s="799"/>
      <c r="C58" s="143">
        <v>5</v>
      </c>
      <c r="D58" s="143">
        <v>0</v>
      </c>
      <c r="E58" s="116">
        <f t="shared" si="10"/>
        <v>10</v>
      </c>
      <c r="F58" s="494" t="s">
        <v>498</v>
      </c>
      <c r="G58" s="494">
        <v>252</v>
      </c>
      <c r="H58" s="508">
        <f>'1461'!H58</f>
        <v>3380</v>
      </c>
      <c r="I58" s="101">
        <f t="shared" ref="I58:I65" si="11">ROUND(E58*H58,2)</f>
        <v>33800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36.5</v>
      </c>
      <c r="D60" s="143">
        <v>0</v>
      </c>
      <c r="E60" s="116">
        <f t="shared" si="10"/>
        <v>73</v>
      </c>
      <c r="F60" s="495" t="s">
        <v>13</v>
      </c>
      <c r="G60" s="494">
        <v>251</v>
      </c>
      <c r="H60" s="508">
        <f>'1461'!H60</f>
        <v>1173</v>
      </c>
      <c r="I60" s="101">
        <f t="shared" si="11"/>
        <v>85629</v>
      </c>
      <c r="N60" s="849"/>
      <c r="O60" s="849"/>
      <c r="P60" s="851"/>
      <c r="Q60" s="851"/>
      <c r="R60" s="40" t="s">
        <v>13</v>
      </c>
      <c r="S60" s="500">
        <v>251</v>
      </c>
      <c r="T60" s="511">
        <f t="shared" si="12"/>
        <v>1173</v>
      </c>
      <c r="U60" s="525">
        <f t="shared" si="13"/>
        <v>0</v>
      </c>
      <c r="V60" s="475"/>
    </row>
    <row r="61" spans="1:22" x14ac:dyDescent="0.25">
      <c r="A61" s="799"/>
      <c r="B61" s="799"/>
      <c r="C61" s="143">
        <v>6</v>
      </c>
      <c r="D61" s="143">
        <v>0</v>
      </c>
      <c r="E61" s="116">
        <f t="shared" si="10"/>
        <v>12</v>
      </c>
      <c r="F61" s="495" t="s">
        <v>13</v>
      </c>
      <c r="G61" s="494">
        <v>252</v>
      </c>
      <c r="H61" s="508">
        <f>'1461'!H61</f>
        <v>3506</v>
      </c>
      <c r="I61" s="101">
        <f t="shared" si="11"/>
        <v>42072</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75</v>
      </c>
      <c r="D66" s="97">
        <f>SUM(D57:D65)</f>
        <v>0</v>
      </c>
      <c r="E66" s="97">
        <f>SUM(E57:E65)</f>
        <v>150</v>
      </c>
      <c r="F66" s="800" t="s">
        <v>507</v>
      </c>
      <c r="G66" s="800"/>
      <c r="H66" s="800"/>
      <c r="I66" s="97">
        <f>SUM(I57:I65)</f>
        <v>219086</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1245.4599999999998</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5.9040000000000004E-3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1321.0658999999998</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5.5599999999999998E-3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1245.4599999999998</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6.6660000000000001E-3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1245.4599999999998</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5.9129999999999999E-3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1245.4599999999998</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6.6769999999999998E-3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5.9129999999999999E-3</v>
      </c>
      <c r="I85" s="101">
        <f>ROUND(F85*H85,2)</f>
        <v>273782.05</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5.9040000000000004E-3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6.6769999999999998E-3</v>
      </c>
      <c r="I90" s="101">
        <f>ROUND(F90*H90,2)</f>
        <v>127703.57</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6.6660000000000001E-3</v>
      </c>
      <c r="I92" s="101">
        <f t="shared" ref="I92:I96" si="14">ROUND(F92*H92,2)</f>
        <v>76734.75</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5.5599999999999998E-3</v>
      </c>
      <c r="I94" s="101">
        <f t="shared" si="14"/>
        <v>1422007.9</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5.5599999999999998E-3</v>
      </c>
      <c r="I96" s="101">
        <f t="shared" si="14"/>
        <v>-85868.95</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5.9040000000000004E-3</v>
      </c>
      <c r="I98" s="101">
        <f t="shared" ref="I98" si="16">ROUND(F98*H98,2)</f>
        <v>33188.89</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642.56479999999988</v>
      </c>
      <c r="D104" s="806"/>
      <c r="E104" s="46">
        <f>H8</f>
        <v>1.0407999999999999</v>
      </c>
      <c r="F104" s="302">
        <f>'1461'!F104</f>
        <v>950.92</v>
      </c>
      <c r="G104" s="39" t="s">
        <v>12</v>
      </c>
      <c r="H104" s="101">
        <f>ROUND(C104*E104*F104,2)</f>
        <v>635957.65</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678.50109999999995</v>
      </c>
      <c r="D105" s="806"/>
      <c r="E105" s="46">
        <f>H8</f>
        <v>1.0407999999999999</v>
      </c>
      <c r="F105" s="302">
        <f>'1461'!F105</f>
        <v>907.92</v>
      </c>
      <c r="G105" s="39" t="s">
        <v>12</v>
      </c>
      <c r="H105" s="101">
        <f>ROUND(C105*E105*F105,2)</f>
        <v>641158.53</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1321.0658999999998</v>
      </c>
      <c r="D107" s="796"/>
      <c r="E107" s="123"/>
      <c r="F107" s="123"/>
      <c r="G107" s="123"/>
      <c r="H107" s="124" t="s">
        <v>100</v>
      </c>
      <c r="I107" s="101">
        <f>IF(A1=75,0,H106+H105+H104)</f>
        <v>1277116.1800000002</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237</v>
      </c>
      <c r="D113" s="143">
        <v>0</v>
      </c>
      <c r="E113" s="116">
        <f>C113</f>
        <v>237</v>
      </c>
      <c r="F113" s="126" t="s">
        <v>30</v>
      </c>
      <c r="G113" s="303">
        <f>'1461'!G113</f>
        <v>607</v>
      </c>
      <c r="I113" s="101">
        <f>ROUND(G113*E113,2)</f>
        <v>143859</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10817522.380000001</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10351880.510000002</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10351880.510000002</v>
      </c>
      <c r="I135" s="94">
        <f>ROUND(IF(E30=0,0,IF(E30&gt;250,-(((250/E30)*H135)*IF(G135="H",0.02,0.05)),IF(G135="H",-0.02*H135,-0.05*H135))),2)</f>
        <v>-103896.16</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10713626.220000001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Payments'!Q103</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10713626.220000001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892802.19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413697.87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345</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J11" s="255"/>
      <c r="K11" s="254"/>
      <c r="L11" s="254"/>
      <c r="N11" s="12"/>
      <c r="O11" s="12"/>
      <c r="P11" s="13"/>
      <c r="Q11" s="13"/>
      <c r="R11" s="817" t="s">
        <v>1</v>
      </c>
      <c r="S11" s="817"/>
      <c r="T11" s="15" t="s">
        <v>60</v>
      </c>
      <c r="U11" s="16" t="s">
        <v>27</v>
      </c>
    </row>
    <row r="12" spans="1:21" ht="15.75" customHeight="1" x14ac:dyDescent="0.25">
      <c r="A12" s="782" t="s">
        <v>1</v>
      </c>
      <c r="B12" s="782"/>
      <c r="C12" s="342" t="str">
        <f>'1461'!C12</f>
        <v>FTE</v>
      </c>
      <c r="D12" s="340" t="str">
        <f>'1461'!D12</f>
        <v>FTE</v>
      </c>
      <c r="E12" s="340" t="s">
        <v>2</v>
      </c>
      <c r="F12" s="783" t="s">
        <v>63</v>
      </c>
      <c r="G12" s="783"/>
      <c r="H12" s="17" t="s">
        <v>59</v>
      </c>
      <c r="I12" s="440" t="s">
        <v>457</v>
      </c>
      <c r="J12" s="253"/>
      <c r="K12" s="254"/>
      <c r="L12" s="254"/>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K13" s="254"/>
      <c r="L13" s="254"/>
      <c r="N13" s="826" t="s">
        <v>36</v>
      </c>
      <c r="O13" s="826"/>
      <c r="P13" s="827" t="s">
        <v>37</v>
      </c>
      <c r="Q13" s="827"/>
      <c r="R13" s="828" t="s">
        <v>38</v>
      </c>
      <c r="S13" s="828"/>
      <c r="T13" s="22" t="s">
        <v>39</v>
      </c>
      <c r="U13" s="23" t="s">
        <v>40</v>
      </c>
    </row>
    <row r="14" spans="1:21" x14ac:dyDescent="0.25">
      <c r="A14" s="786" t="s">
        <v>20</v>
      </c>
      <c r="B14" s="786"/>
      <c r="C14" s="143">
        <v>43.42</v>
      </c>
      <c r="D14" s="141">
        <v>0</v>
      </c>
      <c r="E14" s="187">
        <f>IF(D$30=0,C14*2,C14+D14)</f>
        <v>86.84</v>
      </c>
      <c r="F14" s="829">
        <f>'1461'!F14:G14</f>
        <v>1.1180000000000001</v>
      </c>
      <c r="G14" s="829"/>
      <c r="H14" s="145">
        <f>ROUND(E14*F14,4)</f>
        <v>97.087100000000007</v>
      </c>
      <c r="I14" s="111">
        <f>ROUND(ROUND(ROUND(H14*$C$8,4)*($H$8),2)*(MAX($H$9,1)),2)</f>
        <v>538686.22</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1.5</v>
      </c>
      <c r="D15" s="143">
        <v>0</v>
      </c>
      <c r="E15" s="116">
        <f t="shared" ref="E15:E29" si="1">IF(D$30=0,C15*2,C15+D15)</f>
        <v>3</v>
      </c>
      <c r="F15" s="833">
        <f>'1461'!F15:G15</f>
        <v>1.1180000000000001</v>
      </c>
      <c r="G15" s="833"/>
      <c r="H15" s="80">
        <f t="shared" ref="H15:H29" si="2">ROUND(E15*F15,4)</f>
        <v>3.3540000000000001</v>
      </c>
      <c r="I15" s="101">
        <f t="shared" ref="I15:I29" si="3">ROUND(ROUND(ROUND(H15*$C$8,4)*($H$8),2)*(MAX($H$9,1)),2)</f>
        <v>18609.62</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33.869999999999997</v>
      </c>
      <c r="D16" s="143">
        <v>0</v>
      </c>
      <c r="E16" s="116">
        <f t="shared" si="1"/>
        <v>67.739999999999995</v>
      </c>
      <c r="F16" s="833">
        <f>'1461'!F16:G16</f>
        <v>1</v>
      </c>
      <c r="G16" s="833"/>
      <c r="H16" s="80">
        <f t="shared" si="2"/>
        <v>67.739999999999995</v>
      </c>
      <c r="I16" s="101">
        <f t="shared" si="3"/>
        <v>375854.31</v>
      </c>
      <c r="N16" s="834" t="s">
        <v>22</v>
      </c>
      <c r="O16" s="834"/>
      <c r="P16" s="831">
        <f t="shared" si="0"/>
        <v>0</v>
      </c>
      <c r="Q16" s="831"/>
      <c r="R16" s="835">
        <v>1</v>
      </c>
      <c r="S16" s="835"/>
      <c r="T16" s="95">
        <f t="shared" si="4"/>
        <v>0</v>
      </c>
      <c r="U16" s="524">
        <f t="shared" si="5"/>
        <v>0</v>
      </c>
    </row>
    <row r="17" spans="1:21" x14ac:dyDescent="0.25">
      <c r="A17" s="788" t="s">
        <v>23</v>
      </c>
      <c r="B17" s="788"/>
      <c r="C17" s="143">
        <v>3</v>
      </c>
      <c r="D17" s="143">
        <v>0</v>
      </c>
      <c r="E17" s="116">
        <f t="shared" si="1"/>
        <v>6</v>
      </c>
      <c r="F17" s="833">
        <f>'1461'!F17:G17</f>
        <v>1</v>
      </c>
      <c r="G17" s="833"/>
      <c r="H17" s="80">
        <f t="shared" si="2"/>
        <v>6</v>
      </c>
      <c r="I17" s="101">
        <f t="shared" si="3"/>
        <v>33290.9</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50.08</v>
      </c>
      <c r="D26" s="143">
        <v>0</v>
      </c>
      <c r="E26" s="116">
        <f t="shared" si="1"/>
        <v>100.16</v>
      </c>
      <c r="F26" s="833">
        <f>'1461'!F26:G26</f>
        <v>1.1919999999999999</v>
      </c>
      <c r="G26" s="833"/>
      <c r="H26" s="80">
        <f t="shared" si="2"/>
        <v>119.3907</v>
      </c>
      <c r="I26" s="101">
        <f t="shared" si="3"/>
        <v>662437.39</v>
      </c>
      <c r="N26" s="834" t="s">
        <v>85</v>
      </c>
      <c r="O26" s="834"/>
      <c r="P26" s="831">
        <f t="shared" si="0"/>
        <v>0</v>
      </c>
      <c r="Q26" s="831"/>
      <c r="R26" s="835">
        <v>1</v>
      </c>
      <c r="S26" s="835"/>
      <c r="T26" s="95">
        <f t="shared" si="4"/>
        <v>0</v>
      </c>
      <c r="U26" s="524">
        <f t="shared" si="5"/>
        <v>0</v>
      </c>
    </row>
    <row r="27" spans="1:21" x14ac:dyDescent="0.25">
      <c r="A27" s="788" t="s">
        <v>86</v>
      </c>
      <c r="B27" s="788"/>
      <c r="C27" s="143">
        <v>20.14</v>
      </c>
      <c r="D27" s="143">
        <v>0</v>
      </c>
      <c r="E27" s="116">
        <f t="shared" si="1"/>
        <v>40.28</v>
      </c>
      <c r="F27" s="833">
        <f>'1461'!F27:G27</f>
        <v>1.1919999999999999</v>
      </c>
      <c r="G27" s="833"/>
      <c r="H27" s="80">
        <f t="shared" si="2"/>
        <v>48.013800000000003</v>
      </c>
      <c r="I27" s="101">
        <f t="shared" si="3"/>
        <v>266403.8</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152.01</v>
      </c>
      <c r="D30" s="94">
        <f>SUM(D14:D29)+0</f>
        <v>0</v>
      </c>
      <c r="E30" s="94">
        <f>SUM(E14:E29)</f>
        <v>304.02</v>
      </c>
      <c r="F30" s="792"/>
      <c r="G30" s="792"/>
      <c r="H30" s="99">
        <f>SUM(H14:H29)</f>
        <v>341.5856</v>
      </c>
      <c r="I30" s="94">
        <f>SUM(I14:I29)</f>
        <v>1895282.24</v>
      </c>
      <c r="K30" s="236">
        <f>I30-J30</f>
        <v>1895282.24</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341.5856</v>
      </c>
      <c r="F46" s="34"/>
      <c r="G46" s="106"/>
      <c r="H46" s="107" t="s">
        <v>98</v>
      </c>
      <c r="I46" s="94">
        <f>SUM(I44,I30)</f>
        <v>1895282.24</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1985077.23</v>
      </c>
      <c r="G51" s="109" t="s">
        <v>6</v>
      </c>
      <c r="H51" s="453">
        <v>5.5899999999999998E-2</v>
      </c>
      <c r="I51" s="101">
        <f>ROUND(F51*H51,2)</f>
        <v>110965.82</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1985077.23</v>
      </c>
      <c r="G52" s="109" t="s">
        <v>6</v>
      </c>
      <c r="H52" s="453">
        <v>1.0699999999999999E-2</v>
      </c>
      <c r="I52" s="101">
        <f>ROUND(F52*H52,2)</f>
        <v>21240.33</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132206.15000000002</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1.5</v>
      </c>
      <c r="D57" s="143">
        <v>0</v>
      </c>
      <c r="E57" s="116">
        <f>IF(D$66=0,C57*2,C57+D57)</f>
        <v>3</v>
      </c>
      <c r="F57" s="494" t="s">
        <v>498</v>
      </c>
      <c r="G57" s="494">
        <v>251</v>
      </c>
      <c r="H57" s="508">
        <f>'1461'!H57</f>
        <v>1047</v>
      </c>
      <c r="I57" s="101">
        <f>ROUND(E57*H57,2)</f>
        <v>3141</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ref="E58:E65" si="10">IF(D$66=0,C58*2,C58+D58)</f>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3</v>
      </c>
      <c r="D60" s="143">
        <v>0</v>
      </c>
      <c r="E60" s="116">
        <f t="shared" si="10"/>
        <v>6</v>
      </c>
      <c r="F60" s="495" t="s">
        <v>13</v>
      </c>
      <c r="G60" s="494">
        <v>251</v>
      </c>
      <c r="H60" s="508">
        <f>'1461'!H60</f>
        <v>1173</v>
      </c>
      <c r="I60" s="101">
        <f t="shared" si="11"/>
        <v>7038</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4.5</v>
      </c>
      <c r="D66" s="97">
        <f>SUM(D57:D65)</f>
        <v>0</v>
      </c>
      <c r="E66" s="97">
        <f>SUM(E57:E65)</f>
        <v>9</v>
      </c>
      <c r="F66" s="800" t="s">
        <v>507</v>
      </c>
      <c r="G66" s="800"/>
      <c r="H66" s="800"/>
      <c r="I66" s="97">
        <f>SUM(I57:I65)</f>
        <v>10179</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304.02</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1.441E-3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341.5856</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1.438E-3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304.02</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1.627E-3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304.02</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1.4430000000000001E-3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304.02</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1.6299999999999999E-3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1.4430000000000001E-3</v>
      </c>
      <c r="I85" s="101">
        <f>ROUND(F85*H85,2)</f>
        <v>66813.38</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1.441E-3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1.6299999999999999E-3</v>
      </c>
      <c r="I90" s="101">
        <f>ROUND(F90*H90,2)</f>
        <v>31175.200000000001</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1.627E-3</v>
      </c>
      <c r="I92" s="101">
        <f t="shared" ref="I92:I96" si="14">ROUND(F92*H92,2)</f>
        <v>18728.990000000002</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1.438E-3</v>
      </c>
      <c r="I94" s="101">
        <f t="shared" si="14"/>
        <v>367778.3</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1.438E-3</v>
      </c>
      <c r="I96" s="101">
        <f t="shared" si="14"/>
        <v>-22208.55</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1.441E-3</v>
      </c>
      <c r="I98" s="101">
        <f t="shared" ref="I98" si="16">ROUND(F98*H98,2)</f>
        <v>8100.47</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219.83179999999999</v>
      </c>
      <c r="D104" s="806"/>
      <c r="E104" s="46">
        <f>H8</f>
        <v>1.0407999999999999</v>
      </c>
      <c r="F104" s="302">
        <f>'1461'!F104</f>
        <v>950.92</v>
      </c>
      <c r="G104" s="39" t="s">
        <v>12</v>
      </c>
      <c r="H104" s="101">
        <f>ROUND(C104*E104*F104,2)</f>
        <v>217571.39</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121.7538</v>
      </c>
      <c r="D105" s="806"/>
      <c r="E105" s="46">
        <f>H8</f>
        <v>1.0407999999999999</v>
      </c>
      <c r="F105" s="302">
        <f>'1461'!F105</f>
        <v>907.92</v>
      </c>
      <c r="G105" s="39" t="s">
        <v>12</v>
      </c>
      <c r="H105" s="101">
        <f>ROUND(C105*E105*F105,2)</f>
        <v>115052.85</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341.5856</v>
      </c>
      <c r="D107" s="796"/>
      <c r="E107" s="123"/>
      <c r="F107" s="123"/>
      <c r="G107" s="123"/>
      <c r="H107" s="124" t="s">
        <v>100</v>
      </c>
      <c r="I107" s="101">
        <f>IF(A1=75,0,H106+H105+H104)</f>
        <v>332624.24</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2708473.2700000005</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2576267.1200000006</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2576267.1200000006</v>
      </c>
      <c r="I135" s="94">
        <f>ROUND(IF(E30=0,0,IF(E30&gt;250,-(((250/E30)*H135)*IF(G135="H",0.02,0.05)),IF(G135="H",-0.02*H135,-0.05*H135))),2)</f>
        <v>-105925.07</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2602548.2000000007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Payments'!Q104</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2602548.2000000007</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216879.02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22888.29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0"/>
    </row>
    <row r="207" spans="1:14" x14ac:dyDescent="0.25">
      <c r="A207" s="74"/>
      <c r="K207" s="250"/>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377</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J11" s="255"/>
      <c r="K11" s="254"/>
      <c r="L11" s="254"/>
      <c r="N11" s="12"/>
      <c r="O11" s="12"/>
      <c r="P11" s="13"/>
      <c r="Q11" s="13"/>
      <c r="R11" s="817" t="s">
        <v>1</v>
      </c>
      <c r="S11" s="817"/>
      <c r="T11" s="15" t="s">
        <v>60</v>
      </c>
      <c r="U11" s="16" t="s">
        <v>27</v>
      </c>
    </row>
    <row r="12" spans="1:21" ht="15.75" customHeight="1" x14ac:dyDescent="0.25">
      <c r="A12" s="782" t="s">
        <v>1</v>
      </c>
      <c r="B12" s="782"/>
      <c r="C12" s="342" t="str">
        <f>'1461'!C12</f>
        <v>FTE</v>
      </c>
      <c r="D12" s="340" t="str">
        <f>'1461'!D12</f>
        <v>FTE</v>
      </c>
      <c r="E12" s="340" t="s">
        <v>2</v>
      </c>
      <c r="F12" s="783" t="s">
        <v>63</v>
      </c>
      <c r="G12" s="783"/>
      <c r="H12" s="17" t="s">
        <v>59</v>
      </c>
      <c r="I12" s="440" t="s">
        <v>457</v>
      </c>
      <c r="J12" s="253"/>
      <c r="K12" s="254"/>
      <c r="L12" s="254"/>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K13" s="254"/>
      <c r="L13" s="254"/>
      <c r="N13" s="826" t="s">
        <v>36</v>
      </c>
      <c r="O13" s="826"/>
      <c r="P13" s="827" t="s">
        <v>37</v>
      </c>
      <c r="Q13" s="827"/>
      <c r="R13" s="828" t="s">
        <v>38</v>
      </c>
      <c r="S13" s="828"/>
      <c r="T13" s="22" t="s">
        <v>39</v>
      </c>
      <c r="U13" s="23" t="s">
        <v>40</v>
      </c>
    </row>
    <row r="14" spans="1:21" x14ac:dyDescent="0.25">
      <c r="A14" s="786" t="s">
        <v>20</v>
      </c>
      <c r="B14" s="786"/>
      <c r="C14" s="143">
        <v>64.150000000000006</v>
      </c>
      <c r="D14" s="141">
        <v>0</v>
      </c>
      <c r="E14" s="187">
        <f>IF(D$30=0,C14*2,C14+D14)</f>
        <v>128.30000000000001</v>
      </c>
      <c r="F14" s="829">
        <f>'1461'!F14:G14</f>
        <v>1.1180000000000001</v>
      </c>
      <c r="G14" s="829"/>
      <c r="H14" s="145">
        <f>ROUND(E14*F14,4)</f>
        <v>143.43940000000001</v>
      </c>
      <c r="I14" s="111">
        <f>ROUND(ROUND(ROUND(H14*$C$8,4)*($H$8),2)*(MAX($H$9,1)),2)</f>
        <v>795871.21</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5</v>
      </c>
      <c r="D15" s="143">
        <v>0</v>
      </c>
      <c r="E15" s="116">
        <f t="shared" ref="E15:E29" si="1">IF(D$30=0,C15*2,C15+D15)</f>
        <v>10</v>
      </c>
      <c r="F15" s="833">
        <f>'1461'!F15:G15</f>
        <v>1.1180000000000001</v>
      </c>
      <c r="G15" s="833"/>
      <c r="H15" s="80">
        <f t="shared" ref="H15:H29" si="2">ROUND(E15*F15,4)</f>
        <v>11.18</v>
      </c>
      <c r="I15" s="101">
        <f t="shared" ref="I15:I29" si="3">ROUND(ROUND(ROUND(H15*$C$8,4)*($H$8),2)*(MAX($H$9,1)),2)</f>
        <v>62032.05</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94.83</v>
      </c>
      <c r="D16" s="143">
        <v>0</v>
      </c>
      <c r="E16" s="116">
        <f t="shared" si="1"/>
        <v>189.66</v>
      </c>
      <c r="F16" s="833">
        <f>'1461'!F16:G16</f>
        <v>1</v>
      </c>
      <c r="G16" s="833"/>
      <c r="H16" s="80">
        <f t="shared" si="2"/>
        <v>189.66</v>
      </c>
      <c r="I16" s="101">
        <f t="shared" si="3"/>
        <v>1052325.47</v>
      </c>
      <c r="N16" s="834" t="s">
        <v>22</v>
      </c>
      <c r="O16" s="834"/>
      <c r="P16" s="831">
        <f t="shared" si="0"/>
        <v>0</v>
      </c>
      <c r="Q16" s="831"/>
      <c r="R16" s="835">
        <v>1</v>
      </c>
      <c r="S16" s="835"/>
      <c r="T16" s="95">
        <f t="shared" si="4"/>
        <v>0</v>
      </c>
      <c r="U16" s="524">
        <f t="shared" si="5"/>
        <v>0</v>
      </c>
    </row>
    <row r="17" spans="1:21" x14ac:dyDescent="0.25">
      <c r="A17" s="788" t="s">
        <v>23</v>
      </c>
      <c r="B17" s="788"/>
      <c r="C17" s="143">
        <v>18.739999999999998</v>
      </c>
      <c r="D17" s="143">
        <v>0</v>
      </c>
      <c r="E17" s="116">
        <f t="shared" si="1"/>
        <v>37.479999999999997</v>
      </c>
      <c r="F17" s="833">
        <f>'1461'!F17:G17</f>
        <v>1</v>
      </c>
      <c r="G17" s="833"/>
      <c r="H17" s="80">
        <f t="shared" si="2"/>
        <v>37.479999999999997</v>
      </c>
      <c r="I17" s="101">
        <f t="shared" si="3"/>
        <v>207957.18</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26.88</v>
      </c>
      <c r="D26" s="143">
        <v>0</v>
      </c>
      <c r="E26" s="116">
        <f t="shared" si="1"/>
        <v>53.76</v>
      </c>
      <c r="F26" s="833">
        <f>'1461'!F26:G26</f>
        <v>1.1919999999999999</v>
      </c>
      <c r="G26" s="833"/>
      <c r="H26" s="80">
        <f t="shared" si="2"/>
        <v>64.081900000000005</v>
      </c>
      <c r="I26" s="101">
        <f t="shared" si="3"/>
        <v>355557.4</v>
      </c>
      <c r="N26" s="834" t="s">
        <v>85</v>
      </c>
      <c r="O26" s="834"/>
      <c r="P26" s="831">
        <f t="shared" si="0"/>
        <v>0</v>
      </c>
      <c r="Q26" s="831"/>
      <c r="R26" s="835">
        <v>1</v>
      </c>
      <c r="S26" s="835"/>
      <c r="T26" s="95">
        <f t="shared" si="4"/>
        <v>0</v>
      </c>
      <c r="U26" s="524">
        <f t="shared" si="5"/>
        <v>0</v>
      </c>
    </row>
    <row r="27" spans="1:21" x14ac:dyDescent="0.25">
      <c r="A27" s="788" t="s">
        <v>86</v>
      </c>
      <c r="B27" s="788"/>
      <c r="C27" s="143">
        <v>19.47</v>
      </c>
      <c r="D27" s="143">
        <v>0</v>
      </c>
      <c r="E27" s="116">
        <f t="shared" si="1"/>
        <v>38.94</v>
      </c>
      <c r="F27" s="833">
        <f>'1461'!F27:G27</f>
        <v>1.1919999999999999</v>
      </c>
      <c r="G27" s="833"/>
      <c r="H27" s="80">
        <f t="shared" si="2"/>
        <v>46.416499999999999</v>
      </c>
      <c r="I27" s="101">
        <f t="shared" si="3"/>
        <v>257541.21</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229.07000000000002</v>
      </c>
      <c r="D30" s="94">
        <f>SUM(D14:D29)</f>
        <v>0</v>
      </c>
      <c r="E30" s="94">
        <f>SUM(E14:E29)</f>
        <v>458.14000000000004</v>
      </c>
      <c r="F30" s="792"/>
      <c r="G30" s="792"/>
      <c r="H30" s="99">
        <f>SUM(H14:H29)</f>
        <v>492.25780000000003</v>
      </c>
      <c r="I30" s="94">
        <f>SUM(I14:I29)</f>
        <v>2731284.52</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492.25780000000003</v>
      </c>
      <c r="F46" s="34"/>
      <c r="G46" s="106"/>
      <c r="H46" s="107" t="s">
        <v>98</v>
      </c>
      <c r="I46" s="94">
        <f>SUM(I44,I30)</f>
        <v>2731284.52</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3169867.2099999995</v>
      </c>
      <c r="G51" s="109" t="s">
        <v>6</v>
      </c>
      <c r="H51" s="453">
        <v>5.5899999999999998E-2</v>
      </c>
      <c r="I51" s="101">
        <f>ROUND(F51*H51,2)</f>
        <v>177195.58</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3169867.2099999995</v>
      </c>
      <c r="G52" s="109" t="s">
        <v>6</v>
      </c>
      <c r="H52" s="453">
        <v>1.0699999999999999E-2</v>
      </c>
      <c r="I52" s="101">
        <f>ROUND(F52*H52,2)</f>
        <v>33917.58</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211113.15999999997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3</v>
      </c>
      <c r="D57" s="143">
        <v>0</v>
      </c>
      <c r="E57" s="116">
        <f t="shared" ref="E57:E65" si="10">IF(D$66=0,C57*2,C57+D57)</f>
        <v>6</v>
      </c>
      <c r="F57" s="494" t="s">
        <v>498</v>
      </c>
      <c r="G57" s="494">
        <v>251</v>
      </c>
      <c r="H57" s="508">
        <f>'1461'!H57</f>
        <v>1047</v>
      </c>
      <c r="I57" s="101">
        <f>ROUND(E57*H57,2)</f>
        <v>6282</v>
      </c>
      <c r="N57" s="848" t="s">
        <v>506</v>
      </c>
      <c r="O57" s="848"/>
      <c r="P57" s="850"/>
      <c r="Q57" s="850"/>
      <c r="R57" s="500" t="s">
        <v>498</v>
      </c>
      <c r="S57" s="500">
        <v>251</v>
      </c>
      <c r="T57" s="511">
        <f>H57</f>
        <v>1047</v>
      </c>
      <c r="U57" s="525">
        <f>ROUND(P57*T57,2)</f>
        <v>0</v>
      </c>
      <c r="V57" s="475"/>
    </row>
    <row r="58" spans="1:22" x14ac:dyDescent="0.25">
      <c r="A58" s="799"/>
      <c r="B58" s="799"/>
      <c r="C58" s="143">
        <v>2</v>
      </c>
      <c r="D58" s="143">
        <v>0</v>
      </c>
      <c r="E58" s="116">
        <f t="shared" si="10"/>
        <v>4</v>
      </c>
      <c r="F58" s="494" t="s">
        <v>498</v>
      </c>
      <c r="G58" s="494">
        <v>252</v>
      </c>
      <c r="H58" s="508">
        <f>'1461'!H58</f>
        <v>3380</v>
      </c>
      <c r="I58" s="101">
        <f t="shared" ref="I58:I65" si="11">ROUND(E58*H58,2)</f>
        <v>13520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15.23</v>
      </c>
      <c r="D60" s="143">
        <v>0</v>
      </c>
      <c r="E60" s="116">
        <f t="shared" si="10"/>
        <v>30.46</v>
      </c>
      <c r="F60" s="495" t="s">
        <v>13</v>
      </c>
      <c r="G60" s="494">
        <v>251</v>
      </c>
      <c r="H60" s="508">
        <f>'1461'!H60</f>
        <v>1173</v>
      </c>
      <c r="I60" s="101">
        <f t="shared" si="11"/>
        <v>35729.58</v>
      </c>
      <c r="N60" s="849"/>
      <c r="O60" s="849"/>
      <c r="P60" s="851"/>
      <c r="Q60" s="851"/>
      <c r="R60" s="40" t="s">
        <v>13</v>
      </c>
      <c r="S60" s="500">
        <v>251</v>
      </c>
      <c r="T60" s="511">
        <f t="shared" si="12"/>
        <v>1173</v>
      </c>
      <c r="U60" s="525">
        <f t="shared" si="13"/>
        <v>0</v>
      </c>
      <c r="V60" s="475"/>
    </row>
    <row r="61" spans="1:22" x14ac:dyDescent="0.25">
      <c r="A61" s="799"/>
      <c r="B61" s="799"/>
      <c r="C61" s="143">
        <v>3.51</v>
      </c>
      <c r="D61" s="143">
        <v>0</v>
      </c>
      <c r="E61" s="116">
        <f t="shared" si="10"/>
        <v>7.02</v>
      </c>
      <c r="F61" s="495" t="s">
        <v>13</v>
      </c>
      <c r="G61" s="494">
        <v>252</v>
      </c>
      <c r="H61" s="508">
        <f>'1461'!H61</f>
        <v>3506</v>
      </c>
      <c r="I61" s="101">
        <f t="shared" si="11"/>
        <v>24612.12</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23.740000000000002</v>
      </c>
      <c r="D66" s="97">
        <f>SUM(D57:D65)</f>
        <v>0</v>
      </c>
      <c r="E66" s="97">
        <f>SUM(E57:E65)</f>
        <v>47.480000000000004</v>
      </c>
      <c r="F66" s="800" t="s">
        <v>507</v>
      </c>
      <c r="G66" s="800"/>
      <c r="H66" s="800"/>
      <c r="I66" s="97">
        <f>SUM(I57:I65)</f>
        <v>80143.7</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458.14000000000004</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2.1719999999999999E-3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492.25780000000003</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2.0720000000000001E-3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458.14000000000004</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2.4520000000000002E-3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458.14000000000004</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2.1749999999999999E-3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458.14000000000004</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2.4559999999999998E-3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2.1749999999999999E-3</v>
      </c>
      <c r="I85" s="101">
        <f>ROUND(F85*H85,2)</f>
        <v>100706.23</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2.1719999999999999E-3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2.4559999999999998E-3</v>
      </c>
      <c r="I90" s="101">
        <f>ROUND(F90*H90,2)</f>
        <v>46973.19</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2.4520000000000002E-3</v>
      </c>
      <c r="I92" s="101">
        <f t="shared" ref="I92:I96" si="14">ROUND(F92*H92,2)</f>
        <v>28225.86</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2.0720000000000001E-3</v>
      </c>
      <c r="I94" s="101">
        <f t="shared" si="14"/>
        <v>529928.12</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2.0720000000000001E-3</v>
      </c>
      <c r="I96" s="101">
        <f t="shared" si="14"/>
        <v>-32000.080000000002</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2.1719999999999999E-3</v>
      </c>
      <c r="I98" s="101">
        <f t="shared" ref="I98" si="16">ROUND(F98*H98,2)</f>
        <v>12209.73</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218.7013</v>
      </c>
      <c r="D104" s="806"/>
      <c r="E104" s="46">
        <f>H8</f>
        <v>1.0407999999999999</v>
      </c>
      <c r="F104" s="302">
        <f>'1461'!F104</f>
        <v>950.92</v>
      </c>
      <c r="G104" s="39" t="s">
        <v>12</v>
      </c>
      <c r="H104" s="101">
        <f>ROUND(C104*E104*F104,2)</f>
        <v>216452.51</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273.55649999999997</v>
      </c>
      <c r="D105" s="806"/>
      <c r="E105" s="46">
        <f>H8</f>
        <v>1.0407999999999999</v>
      </c>
      <c r="F105" s="302">
        <f>'1461'!F105</f>
        <v>907.92</v>
      </c>
      <c r="G105" s="39" t="s">
        <v>12</v>
      </c>
      <c r="H105" s="101">
        <f>ROUND(C105*E105*F105,2)</f>
        <v>258500.81</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492.25779999999997</v>
      </c>
      <c r="D107" s="796"/>
      <c r="E107" s="123"/>
      <c r="F107" s="123"/>
      <c r="G107" s="123"/>
      <c r="H107" s="124" t="s">
        <v>100</v>
      </c>
      <c r="I107" s="101">
        <f>IF(A1=75,0,H106+H105+H104)</f>
        <v>474953.32</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3972424.59</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3761311.4299999997</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3761311.4299999997</v>
      </c>
      <c r="I135" s="94">
        <f>ROUND(IF(E30=0,0,IF(E30&gt;250,-(((250/E30)*H135)*IF(G135="H",0.02,0.05)),IF(G135="H",-0.02*H135,-0.05*H135))),2)</f>
        <v>-102624.51</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3869800.08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Payments'!Q105</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3869800.08</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322483.34000000003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85441.06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132</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37</v>
      </c>
      <c r="D16" s="143">
        <v>0</v>
      </c>
      <c r="E16" s="116">
        <f t="shared" si="1"/>
        <v>74</v>
      </c>
      <c r="F16" s="833">
        <f>'1461'!F16:G16</f>
        <v>1</v>
      </c>
      <c r="G16" s="833"/>
      <c r="H16" s="80">
        <f t="shared" si="2"/>
        <v>74</v>
      </c>
      <c r="I16" s="101">
        <f t="shared" si="3"/>
        <v>410587.81</v>
      </c>
      <c r="N16" s="834" t="s">
        <v>22</v>
      </c>
      <c r="O16" s="834"/>
      <c r="P16" s="831">
        <f t="shared" si="0"/>
        <v>0</v>
      </c>
      <c r="Q16" s="831"/>
      <c r="R16" s="835">
        <v>1</v>
      </c>
      <c r="S16" s="835"/>
      <c r="T16" s="95">
        <f t="shared" si="4"/>
        <v>0</v>
      </c>
      <c r="U16" s="524">
        <f t="shared" si="5"/>
        <v>0</v>
      </c>
    </row>
    <row r="17" spans="1:21" x14ac:dyDescent="0.25">
      <c r="A17" s="788" t="s">
        <v>23</v>
      </c>
      <c r="B17" s="788"/>
      <c r="C17" s="143">
        <v>9.35</v>
      </c>
      <c r="D17" s="143">
        <v>0</v>
      </c>
      <c r="E17" s="116">
        <f t="shared" si="1"/>
        <v>18.7</v>
      </c>
      <c r="F17" s="833">
        <f>'1461'!F17:G17</f>
        <v>1</v>
      </c>
      <c r="G17" s="833"/>
      <c r="H17" s="80">
        <f t="shared" si="2"/>
        <v>18.7</v>
      </c>
      <c r="I17" s="101">
        <f t="shared" si="3"/>
        <v>103756.65</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1</v>
      </c>
      <c r="D27" s="143">
        <v>0</v>
      </c>
      <c r="E27" s="116">
        <f t="shared" si="1"/>
        <v>2</v>
      </c>
      <c r="F27" s="833">
        <f>'1461'!F27:G27</f>
        <v>1.1919999999999999</v>
      </c>
      <c r="G27" s="833"/>
      <c r="H27" s="80">
        <f t="shared" si="2"/>
        <v>2.3839999999999999</v>
      </c>
      <c r="I27" s="101">
        <f t="shared" si="3"/>
        <v>13227.59</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47.35</v>
      </c>
      <c r="D30" s="94">
        <f>SUM(D14:D29)</f>
        <v>0</v>
      </c>
      <c r="E30" s="94">
        <f>SUM(E14:E29)</f>
        <v>94.7</v>
      </c>
      <c r="F30" s="792"/>
      <c r="G30" s="792"/>
      <c r="H30" s="99">
        <f>SUM(H14:H29)</f>
        <v>95.084000000000003</v>
      </c>
      <c r="I30" s="94">
        <f>SUM(I14:I29)</f>
        <v>527572.04999999993</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95.084000000000003</v>
      </c>
      <c r="F46" s="34"/>
      <c r="G46" s="106"/>
      <c r="H46" s="107" t="s">
        <v>98</v>
      </c>
      <c r="I46" s="94">
        <f>SUM(I44,I30)</f>
        <v>527572.04999999993</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504219.03</v>
      </c>
      <c r="G51" s="109" t="s">
        <v>6</v>
      </c>
      <c r="H51" s="453">
        <v>5.5899999999999998E-2</v>
      </c>
      <c r="I51" s="101">
        <f>ROUND(F51*H51,2)</f>
        <v>28185.84</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504219.03</v>
      </c>
      <c r="G52" s="109" t="s">
        <v>6</v>
      </c>
      <c r="H52" s="453">
        <v>1.0699999999999999E-2</v>
      </c>
      <c r="I52" s="101">
        <f>ROUND(F52*H52,2)</f>
        <v>5395.14</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33580.980000000003</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8.85</v>
      </c>
      <c r="D60" s="143">
        <v>0</v>
      </c>
      <c r="E60" s="116">
        <f t="shared" si="10"/>
        <v>17.7</v>
      </c>
      <c r="F60" s="495" t="s">
        <v>13</v>
      </c>
      <c r="G60" s="494">
        <v>251</v>
      </c>
      <c r="H60" s="508">
        <f>'1461'!H60</f>
        <v>1173</v>
      </c>
      <c r="I60" s="101">
        <f t="shared" si="11"/>
        <v>20762.099999999999</v>
      </c>
      <c r="N60" s="849"/>
      <c r="O60" s="849"/>
      <c r="P60" s="851"/>
      <c r="Q60" s="851"/>
      <c r="R60" s="40" t="s">
        <v>13</v>
      </c>
      <c r="S60" s="500">
        <v>251</v>
      </c>
      <c r="T60" s="511">
        <f t="shared" si="12"/>
        <v>1173</v>
      </c>
      <c r="U60" s="525">
        <f t="shared" si="13"/>
        <v>0</v>
      </c>
      <c r="V60" s="475"/>
    </row>
    <row r="61" spans="1:22" x14ac:dyDescent="0.25">
      <c r="A61" s="799"/>
      <c r="B61" s="799"/>
      <c r="C61" s="143">
        <v>0.5</v>
      </c>
      <c r="D61" s="143">
        <v>0</v>
      </c>
      <c r="E61" s="116">
        <f t="shared" si="10"/>
        <v>1</v>
      </c>
      <c r="F61" s="495" t="s">
        <v>13</v>
      </c>
      <c r="G61" s="494">
        <v>252</v>
      </c>
      <c r="H61" s="508">
        <f>'1461'!H61</f>
        <v>3506</v>
      </c>
      <c r="I61" s="101">
        <f t="shared" si="11"/>
        <v>3506</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9.35</v>
      </c>
      <c r="D66" s="97">
        <f>SUM(D57:D65)</f>
        <v>0</v>
      </c>
      <c r="E66" s="97">
        <f>SUM(E57:E65)</f>
        <v>18.7</v>
      </c>
      <c r="F66" s="800" t="s">
        <v>507</v>
      </c>
      <c r="G66" s="800"/>
      <c r="H66" s="800"/>
      <c r="I66" s="97">
        <f>SUM(I57:I65)</f>
        <v>24268.1</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94.7</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4.4900000000000002E-4</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95.084000000000003</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4.0000000000000002E-4</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94.7</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5.0699999999999996E-4</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94.7</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4.4999999999999999E-4</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94.7</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5.0799999999999999E-4</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4.4999999999999999E-4</v>
      </c>
      <c r="I85" s="101">
        <f>ROUND(F85*H85,2)</f>
        <v>20835.77</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4.4900000000000002E-4</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5.0799999999999999E-4</v>
      </c>
      <c r="I90" s="101">
        <f>ROUND(F90*H90,2)</f>
        <v>9715.9500000000007</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5.0699999999999996E-4</v>
      </c>
      <c r="I92" s="101">
        <f t="shared" ref="I92:I96" si="14">ROUND(F92*H92,2)</f>
        <v>5836.26</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4.0000000000000002E-4</v>
      </c>
      <c r="I94" s="101">
        <f t="shared" si="14"/>
        <v>102302.73</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4.0000000000000002E-4</v>
      </c>
      <c r="I96" s="101">
        <f t="shared" si="14"/>
        <v>-6177.62</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4.4900000000000002E-4</v>
      </c>
      <c r="I98" s="101">
        <f t="shared" ref="I98" si="16">ROUND(F98*H98,2)</f>
        <v>2524.02</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95.084000000000003</v>
      </c>
      <c r="D105" s="806"/>
      <c r="E105" s="46">
        <f>H8</f>
        <v>1.0407999999999999</v>
      </c>
      <c r="F105" s="302">
        <f>'1461'!F105</f>
        <v>907.92</v>
      </c>
      <c r="G105" s="39" t="s">
        <v>12</v>
      </c>
      <c r="H105" s="101">
        <f>ROUND(C105*E105*F105,2)</f>
        <v>89850.87</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95.084000000000003</v>
      </c>
      <c r="D107" s="796"/>
      <c r="E107" s="123"/>
      <c r="F107" s="123"/>
      <c r="G107" s="123"/>
      <c r="H107" s="124" t="s">
        <v>100</v>
      </c>
      <c r="I107" s="101">
        <f>IF(A1=75,0,H106+H105+H104)</f>
        <v>89850.87</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776728.12999999989</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743147.14999999991</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743147.14999999991</v>
      </c>
      <c r="I135" s="94">
        <f>ROUND(IF(E30=0,0,IF(E30&gt;250,-(((250/E30)*H135)*IF(G135="H",0.02,0.05)),IF(G135="H",-0.02*H135,-0.05*H135))),2)</f>
        <v>-14862.94</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761865.19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Payments'!Q106</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761865.19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63488.77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133</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136.62</v>
      </c>
      <c r="D14" s="141">
        <v>0</v>
      </c>
      <c r="E14" s="187">
        <f>IF(D$30=0,C14*2,C14+D14)</f>
        <v>273.24</v>
      </c>
      <c r="F14" s="829">
        <f>'1461'!F14:G14</f>
        <v>1.1180000000000001</v>
      </c>
      <c r="G14" s="829"/>
      <c r="H14" s="145">
        <f>ROUND(E14*F14,4)</f>
        <v>305.48230000000001</v>
      </c>
      <c r="I14" s="111">
        <f>ROUND(ROUND(ROUND(H14*$C$8,4)*($H$8),2)*(MAX($H$9,1)),2)</f>
        <v>1694963.65</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10.5</v>
      </c>
      <c r="D15" s="143">
        <v>0</v>
      </c>
      <c r="E15" s="116">
        <f t="shared" ref="E15:E29" si="1">IF(D$30=0,C15*2,C15+D15)</f>
        <v>21</v>
      </c>
      <c r="F15" s="833">
        <f>'1461'!F15:G15</f>
        <v>1.1180000000000001</v>
      </c>
      <c r="G15" s="833"/>
      <c r="H15" s="80">
        <f t="shared" ref="H15:H29" si="2">ROUND(E15*F15,4)</f>
        <v>23.478000000000002</v>
      </c>
      <c r="I15" s="101">
        <f t="shared" ref="I15:I29" si="3">ROUND(ROUND(ROUND(H15*$C$8,4)*($H$8),2)*(MAX($H$9,1)),2)</f>
        <v>130267.31</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155.16</v>
      </c>
      <c r="D16" s="143">
        <v>0</v>
      </c>
      <c r="E16" s="116">
        <f t="shared" si="1"/>
        <v>310.32</v>
      </c>
      <c r="F16" s="833">
        <f>'1461'!F16:G16</f>
        <v>1</v>
      </c>
      <c r="G16" s="833"/>
      <c r="H16" s="80">
        <f t="shared" si="2"/>
        <v>310.32</v>
      </c>
      <c r="I16" s="101">
        <f t="shared" si="3"/>
        <v>1721805.55</v>
      </c>
      <c r="N16" s="834" t="s">
        <v>22</v>
      </c>
      <c r="O16" s="834"/>
      <c r="P16" s="831">
        <f t="shared" si="0"/>
        <v>0</v>
      </c>
      <c r="Q16" s="831"/>
      <c r="R16" s="835">
        <v>1</v>
      </c>
      <c r="S16" s="835"/>
      <c r="T16" s="95">
        <f t="shared" si="4"/>
        <v>0</v>
      </c>
      <c r="U16" s="524">
        <f t="shared" si="5"/>
        <v>0</v>
      </c>
    </row>
    <row r="17" spans="1:21" x14ac:dyDescent="0.25">
      <c r="A17" s="788" t="s">
        <v>23</v>
      </c>
      <c r="B17" s="788"/>
      <c r="C17" s="143">
        <v>21</v>
      </c>
      <c r="D17" s="143">
        <v>0</v>
      </c>
      <c r="E17" s="116">
        <f t="shared" si="1"/>
        <v>42</v>
      </c>
      <c r="F17" s="833">
        <f>'1461'!F17:G17</f>
        <v>1</v>
      </c>
      <c r="G17" s="833"/>
      <c r="H17" s="80">
        <f t="shared" si="2"/>
        <v>42</v>
      </c>
      <c r="I17" s="101">
        <f t="shared" si="3"/>
        <v>233036.33</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20.630000000000003</v>
      </c>
      <c r="D26" s="143">
        <v>0</v>
      </c>
      <c r="E26" s="116">
        <f t="shared" si="1"/>
        <v>41.260000000000005</v>
      </c>
      <c r="F26" s="833">
        <f>'1461'!F26:G26</f>
        <v>1.1919999999999999</v>
      </c>
      <c r="G26" s="833"/>
      <c r="H26" s="80">
        <f t="shared" si="2"/>
        <v>49.181899999999999</v>
      </c>
      <c r="I26" s="101">
        <f t="shared" si="3"/>
        <v>272884.98</v>
      </c>
      <c r="N26" s="834" t="s">
        <v>85</v>
      </c>
      <c r="O26" s="834"/>
      <c r="P26" s="831">
        <f t="shared" si="0"/>
        <v>0</v>
      </c>
      <c r="Q26" s="831"/>
      <c r="R26" s="835">
        <v>1</v>
      </c>
      <c r="S26" s="835"/>
      <c r="T26" s="95">
        <f t="shared" si="4"/>
        <v>0</v>
      </c>
      <c r="U26" s="524">
        <f t="shared" si="5"/>
        <v>0</v>
      </c>
    </row>
    <row r="27" spans="1:21" x14ac:dyDescent="0.25">
      <c r="A27" s="788" t="s">
        <v>86</v>
      </c>
      <c r="B27" s="788"/>
      <c r="C27" s="143">
        <v>19.78</v>
      </c>
      <c r="D27" s="143">
        <v>0</v>
      </c>
      <c r="E27" s="116">
        <f t="shared" si="1"/>
        <v>39.56</v>
      </c>
      <c r="F27" s="833">
        <f>'1461'!F27:G27</f>
        <v>1.1919999999999999</v>
      </c>
      <c r="G27" s="833"/>
      <c r="H27" s="80">
        <f t="shared" si="2"/>
        <v>47.155500000000004</v>
      </c>
      <c r="I27" s="101">
        <f t="shared" si="3"/>
        <v>261641.54</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363.68999999999994</v>
      </c>
      <c r="D30" s="94">
        <f>SUM(D14:D29)</f>
        <v>0</v>
      </c>
      <c r="E30" s="94">
        <f>SUM(E14:E29)</f>
        <v>727.37999999999988</v>
      </c>
      <c r="F30" s="792"/>
      <c r="G30" s="792"/>
      <c r="H30" s="99">
        <f>SUM(H14:H29)</f>
        <v>777.61770000000001</v>
      </c>
      <c r="I30" s="94">
        <f>SUM(I14:I29)</f>
        <v>4314599.3599999994</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777.61770000000001</v>
      </c>
      <c r="F46" s="34"/>
      <c r="G46" s="106"/>
      <c r="H46" s="107" t="s">
        <v>98</v>
      </c>
      <c r="I46" s="94">
        <f>SUM(I44,I30)</f>
        <v>4314599.3599999994</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4612688.32</v>
      </c>
      <c r="G51" s="109" t="s">
        <v>6</v>
      </c>
      <c r="H51" s="453">
        <v>5.5899999999999998E-2</v>
      </c>
      <c r="I51" s="101">
        <f>ROUND(F51*H51,2)</f>
        <v>257849.28</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4612688.32</v>
      </c>
      <c r="G52" s="109" t="s">
        <v>6</v>
      </c>
      <c r="H52" s="453">
        <v>1.0699999999999999E-2</v>
      </c>
      <c r="I52" s="101">
        <f>ROUND(F52*H52,2)</f>
        <v>49355.77</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307205.05</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7</v>
      </c>
      <c r="D57" s="143">
        <v>0</v>
      </c>
      <c r="E57" s="116">
        <f t="shared" ref="E57:E65" si="10">IF(D$66=0,C57*2,C57+D57)</f>
        <v>14</v>
      </c>
      <c r="F57" s="494" t="s">
        <v>498</v>
      </c>
      <c r="G57" s="494">
        <v>251</v>
      </c>
      <c r="H57" s="508">
        <f>'1461'!H57</f>
        <v>1047</v>
      </c>
      <c r="I57" s="101">
        <f>ROUND(E57*H57,2)</f>
        <v>14658</v>
      </c>
      <c r="N57" s="848" t="s">
        <v>506</v>
      </c>
      <c r="O57" s="848"/>
      <c r="P57" s="850"/>
      <c r="Q57" s="850"/>
      <c r="R57" s="500" t="s">
        <v>498</v>
      </c>
      <c r="S57" s="500">
        <v>251</v>
      </c>
      <c r="T57" s="511">
        <f>H57</f>
        <v>1047</v>
      </c>
      <c r="U57" s="525">
        <f>ROUND(P57*T57,2)</f>
        <v>0</v>
      </c>
      <c r="V57" s="475"/>
    </row>
    <row r="58" spans="1:22" x14ac:dyDescent="0.25">
      <c r="A58" s="799"/>
      <c r="B58" s="799"/>
      <c r="C58" s="143">
        <v>3</v>
      </c>
      <c r="D58" s="143">
        <v>0</v>
      </c>
      <c r="E58" s="116">
        <f t="shared" si="10"/>
        <v>6</v>
      </c>
      <c r="F58" s="494" t="s">
        <v>498</v>
      </c>
      <c r="G58" s="494">
        <v>252</v>
      </c>
      <c r="H58" s="508">
        <f>'1461'!H58</f>
        <v>3380</v>
      </c>
      <c r="I58" s="101">
        <f t="shared" ref="I58:I65" si="11">ROUND(E58*H58,2)</f>
        <v>20280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0.5</v>
      </c>
      <c r="D59" s="143">
        <v>0</v>
      </c>
      <c r="E59" s="116">
        <f t="shared" si="10"/>
        <v>1</v>
      </c>
      <c r="F59" s="494" t="s">
        <v>498</v>
      </c>
      <c r="G59" s="494">
        <v>253</v>
      </c>
      <c r="H59" s="508">
        <f>'1461'!H59</f>
        <v>6896</v>
      </c>
      <c r="I59" s="101">
        <f t="shared" si="11"/>
        <v>6896</v>
      </c>
      <c r="N59" s="849"/>
      <c r="O59" s="849"/>
      <c r="P59" s="851"/>
      <c r="Q59" s="851"/>
      <c r="R59" s="500" t="s">
        <v>498</v>
      </c>
      <c r="S59" s="500">
        <v>253</v>
      </c>
      <c r="T59" s="511">
        <f t="shared" si="12"/>
        <v>6896</v>
      </c>
      <c r="U59" s="525">
        <f t="shared" si="13"/>
        <v>0</v>
      </c>
      <c r="V59" s="475"/>
    </row>
    <row r="60" spans="1:22" x14ac:dyDescent="0.25">
      <c r="A60" s="799"/>
      <c r="B60" s="799"/>
      <c r="C60" s="143">
        <v>19.5</v>
      </c>
      <c r="D60" s="143">
        <v>0</v>
      </c>
      <c r="E60" s="116">
        <f t="shared" si="10"/>
        <v>39</v>
      </c>
      <c r="F60" s="495" t="s">
        <v>13</v>
      </c>
      <c r="G60" s="494">
        <v>251</v>
      </c>
      <c r="H60" s="508">
        <f>'1461'!H60</f>
        <v>1173</v>
      </c>
      <c r="I60" s="101">
        <f t="shared" si="11"/>
        <v>45747</v>
      </c>
      <c r="N60" s="849"/>
      <c r="O60" s="849"/>
      <c r="P60" s="851"/>
      <c r="Q60" s="851"/>
      <c r="R60" s="40" t="s">
        <v>13</v>
      </c>
      <c r="S60" s="500">
        <v>251</v>
      </c>
      <c r="T60" s="511">
        <f t="shared" si="12"/>
        <v>1173</v>
      </c>
      <c r="U60" s="525">
        <f t="shared" si="13"/>
        <v>0</v>
      </c>
      <c r="V60" s="475"/>
    </row>
    <row r="61" spans="1:22" x14ac:dyDescent="0.25">
      <c r="A61" s="799"/>
      <c r="B61" s="799"/>
      <c r="C61" s="143">
        <v>1.5</v>
      </c>
      <c r="D61" s="143">
        <v>0</v>
      </c>
      <c r="E61" s="116">
        <f t="shared" si="10"/>
        <v>3</v>
      </c>
      <c r="F61" s="495" t="s">
        <v>13</v>
      </c>
      <c r="G61" s="494">
        <v>252</v>
      </c>
      <c r="H61" s="508">
        <f>'1461'!H61</f>
        <v>3506</v>
      </c>
      <c r="I61" s="101">
        <f t="shared" si="11"/>
        <v>10518</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31.5</v>
      </c>
      <c r="D66" s="97">
        <f>SUM(D57:D65)</f>
        <v>0</v>
      </c>
      <c r="E66" s="97">
        <f>SUM(E57:E65)</f>
        <v>63</v>
      </c>
      <c r="F66" s="800" t="s">
        <v>507</v>
      </c>
      <c r="G66" s="800"/>
      <c r="H66" s="800"/>
      <c r="I66" s="97">
        <f>SUM(I57:I65)</f>
        <v>98099</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727.37999999999988</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3.4480000000000001E-3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777.61770000000001</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3.2729999999999999E-3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727.37999999999988</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3.8930000000000002E-3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727.37999999999988</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3.4529999999999999E-3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727.37999999999988</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3.8999999999999998E-3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3.4529999999999999E-3</v>
      </c>
      <c r="I85" s="101">
        <f>ROUND(F85*H85,2)</f>
        <v>159879.82999999999</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3.4480000000000001E-3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3.8999999999999998E-3</v>
      </c>
      <c r="I90" s="101">
        <f>ROUND(F90*H90,2)</f>
        <v>74590.97</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3.8930000000000002E-3</v>
      </c>
      <c r="I92" s="101">
        <f t="shared" ref="I92:I96" si="14">ROUND(F92*H92,2)</f>
        <v>44813.74</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3.2729999999999999E-3</v>
      </c>
      <c r="I94" s="101">
        <f t="shared" si="14"/>
        <v>837092.06</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3.2729999999999999E-3</v>
      </c>
      <c r="I96" s="101">
        <f t="shared" si="14"/>
        <v>-50548.39</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3.4480000000000001E-3</v>
      </c>
      <c r="I98" s="101">
        <f t="shared" ref="I98" si="16">ROUND(F98*H98,2)</f>
        <v>19382.669999999998</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378.1422</v>
      </c>
      <c r="D104" s="806"/>
      <c r="E104" s="46">
        <f>H8</f>
        <v>1.0407999999999999</v>
      </c>
      <c r="F104" s="302">
        <f>'1461'!F104</f>
        <v>950.92</v>
      </c>
      <c r="G104" s="39" t="s">
        <v>12</v>
      </c>
      <c r="H104" s="101">
        <f>ROUND(C104*E104*F104,2)</f>
        <v>374253.97</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399.47550000000001</v>
      </c>
      <c r="D105" s="806"/>
      <c r="E105" s="46">
        <f>H8</f>
        <v>1.0407999999999999</v>
      </c>
      <c r="F105" s="302">
        <f>'1461'!F105</f>
        <v>907.92</v>
      </c>
      <c r="G105" s="39" t="s">
        <v>12</v>
      </c>
      <c r="H105" s="101">
        <f>ROUND(C105*E105*F105,2)</f>
        <v>377489.62</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777.61770000000001</v>
      </c>
      <c r="D107" s="796"/>
      <c r="E107" s="123"/>
      <c r="F107" s="123"/>
      <c r="G107" s="123"/>
      <c r="H107" s="124" t="s">
        <v>100</v>
      </c>
      <c r="I107" s="101">
        <f>IF(A1=75,0,H106+H105+H104)</f>
        <v>751743.59</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6249652.8299999991</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5942447.7799999993</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83" t="s">
        <v>561</v>
      </c>
      <c r="O132" s="884"/>
      <c r="P132" s="884"/>
      <c r="Q132" s="884"/>
      <c r="R132" s="884"/>
      <c r="S132" s="884"/>
      <c r="T132" s="884"/>
      <c r="U132" s="138"/>
    </row>
    <row r="133" spans="1:21" x14ac:dyDescent="0.25">
      <c r="A133" s="788" t="s">
        <v>70</v>
      </c>
      <c r="B133" s="788"/>
      <c r="C133" s="788"/>
      <c r="D133" s="788"/>
      <c r="E133" s="788"/>
      <c r="F133" s="788"/>
      <c r="G133" s="788"/>
      <c r="H133" s="70" t="str">
        <f>IF(E30=0,"",IF((E15+E17+SUM(E19:E25))/E30&gt;0.75,1,""))</f>
        <v/>
      </c>
      <c r="I133" s="116">
        <f>U130</f>
        <v>0</v>
      </c>
      <c r="N133" s="884" t="s">
        <v>70</v>
      </c>
      <c r="O133" s="884"/>
      <c r="P133" s="884"/>
      <c r="Q133" s="884"/>
      <c r="R133" s="884"/>
      <c r="S133" s="884"/>
      <c r="T133" s="8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5942447.7799999993</v>
      </c>
      <c r="I135" s="94">
        <f>ROUND(IF(E30=0,0,IF(E30&gt;250,-(((250/E30)*H135)*IF(G135="H",0.02,0.05)),IF(G135="H",-0.02*H135,-0.05*H135))),2)</f>
        <v>-102120.76</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6147532.0699999994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Payments'!Q107</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6147532.0699999994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512294.34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195001.63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134</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138.1</v>
      </c>
      <c r="D14" s="141">
        <v>0</v>
      </c>
      <c r="E14" s="187">
        <f>IF(D$30=0,C14*2,C14+D14)</f>
        <v>276.2</v>
      </c>
      <c r="F14" s="829">
        <f>'1461'!F14:G14</f>
        <v>1.1180000000000001</v>
      </c>
      <c r="G14" s="829"/>
      <c r="H14" s="145">
        <f>ROUND(E14*F14,4)</f>
        <v>308.79160000000002</v>
      </c>
      <c r="I14" s="111">
        <f>ROUND(ROUND(ROUND(H14*$C$8,4)*($H$8),2)*(MAX($H$9,1)),2)</f>
        <v>1713325.25</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13</v>
      </c>
      <c r="D15" s="143">
        <v>0</v>
      </c>
      <c r="E15" s="116">
        <f t="shared" ref="E15:E29" si="1">IF(D$30=0,C15*2,C15+D15)</f>
        <v>26</v>
      </c>
      <c r="F15" s="833">
        <f>'1461'!F15:G15</f>
        <v>1.1180000000000001</v>
      </c>
      <c r="G15" s="833"/>
      <c r="H15" s="80">
        <f t="shared" ref="H15:H29" si="2">ROUND(E15*F15,4)</f>
        <v>29.068000000000001</v>
      </c>
      <c r="I15" s="101">
        <f t="shared" ref="I15:I29" si="3">ROUND(ROUND(ROUND(H15*$C$8,4)*($H$8),2)*(MAX($H$9,1)),2)</f>
        <v>161283.32999999999</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148.02000000000001</v>
      </c>
      <c r="D16" s="143">
        <v>0</v>
      </c>
      <c r="E16" s="116">
        <f t="shared" si="1"/>
        <v>296.04000000000002</v>
      </c>
      <c r="F16" s="833">
        <f>'1461'!F16:G16</f>
        <v>1</v>
      </c>
      <c r="G16" s="833"/>
      <c r="H16" s="80">
        <f t="shared" si="2"/>
        <v>296.04000000000002</v>
      </c>
      <c r="I16" s="101">
        <f t="shared" si="3"/>
        <v>1642573.2</v>
      </c>
      <c r="N16" s="834" t="s">
        <v>22</v>
      </c>
      <c r="O16" s="834"/>
      <c r="P16" s="831">
        <f t="shared" si="0"/>
        <v>0</v>
      </c>
      <c r="Q16" s="831"/>
      <c r="R16" s="835">
        <v>1</v>
      </c>
      <c r="S16" s="835"/>
      <c r="T16" s="95">
        <f t="shared" si="4"/>
        <v>0</v>
      </c>
      <c r="U16" s="524">
        <f t="shared" si="5"/>
        <v>0</v>
      </c>
    </row>
    <row r="17" spans="1:21" x14ac:dyDescent="0.25">
      <c r="A17" s="788" t="s">
        <v>23</v>
      </c>
      <c r="B17" s="788"/>
      <c r="C17" s="143">
        <v>26</v>
      </c>
      <c r="D17" s="143">
        <v>0</v>
      </c>
      <c r="E17" s="116">
        <f t="shared" si="1"/>
        <v>52</v>
      </c>
      <c r="F17" s="833">
        <f>'1461'!F17:G17</f>
        <v>1</v>
      </c>
      <c r="G17" s="833"/>
      <c r="H17" s="80">
        <f t="shared" si="2"/>
        <v>52</v>
      </c>
      <c r="I17" s="101">
        <f t="shared" si="3"/>
        <v>288521.17</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26.4</v>
      </c>
      <c r="D26" s="143">
        <v>0</v>
      </c>
      <c r="E26" s="116">
        <f t="shared" si="1"/>
        <v>52.8</v>
      </c>
      <c r="F26" s="833">
        <f>'1461'!F26:G26</f>
        <v>1.1919999999999999</v>
      </c>
      <c r="G26" s="833"/>
      <c r="H26" s="80">
        <f t="shared" si="2"/>
        <v>62.937600000000003</v>
      </c>
      <c r="I26" s="101">
        <f t="shared" si="3"/>
        <v>349208.27</v>
      </c>
      <c r="N26" s="834" t="s">
        <v>85</v>
      </c>
      <c r="O26" s="834"/>
      <c r="P26" s="831">
        <f t="shared" si="0"/>
        <v>0</v>
      </c>
      <c r="Q26" s="831"/>
      <c r="R26" s="835">
        <v>1</v>
      </c>
      <c r="S26" s="835"/>
      <c r="T26" s="95">
        <f t="shared" si="4"/>
        <v>0</v>
      </c>
      <c r="U26" s="524">
        <f t="shared" si="5"/>
        <v>0</v>
      </c>
    </row>
    <row r="27" spans="1:21" x14ac:dyDescent="0.25">
      <c r="A27" s="788" t="s">
        <v>86</v>
      </c>
      <c r="B27" s="788"/>
      <c r="C27" s="143">
        <v>29.98</v>
      </c>
      <c r="D27" s="143">
        <v>0</v>
      </c>
      <c r="E27" s="116">
        <f t="shared" si="1"/>
        <v>59.96</v>
      </c>
      <c r="F27" s="833">
        <f>'1461'!F27:G27</f>
        <v>1.1919999999999999</v>
      </c>
      <c r="G27" s="833"/>
      <c r="H27" s="80">
        <f t="shared" si="2"/>
        <v>71.472300000000004</v>
      </c>
      <c r="I27" s="101">
        <f t="shared" si="3"/>
        <v>396562.91</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381.5</v>
      </c>
      <c r="D30" s="94">
        <f>SUM(D14:D29)</f>
        <v>0</v>
      </c>
      <c r="E30" s="94">
        <f>SUM(E14:E29)</f>
        <v>763</v>
      </c>
      <c r="F30" s="792"/>
      <c r="G30" s="792"/>
      <c r="H30" s="99">
        <f>SUM(H14:H29)</f>
        <v>820.30949999999996</v>
      </c>
      <c r="I30" s="94">
        <f>SUM(I14:I29)</f>
        <v>4551474.13</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820.30949999999996</v>
      </c>
      <c r="F46" s="34"/>
      <c r="G46" s="106"/>
      <c r="H46" s="107" t="s">
        <v>98</v>
      </c>
      <c r="I46" s="94">
        <f>SUM(I44,I30)</f>
        <v>4551474.13</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3" t="s">
        <v>577</v>
      </c>
      <c r="C51" s="26"/>
      <c r="D51" s="26"/>
      <c r="E51" s="43" t="s">
        <v>461</v>
      </c>
      <c r="F51" s="452">
        <v>5046637.4799999995</v>
      </c>
      <c r="G51" s="109" t="s">
        <v>6</v>
      </c>
      <c r="H51" s="453">
        <v>5.5899999999999998E-2</v>
      </c>
      <c r="I51" s="101">
        <f>ROUND(F51*H51,2)</f>
        <v>282107.03999999998</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5046637.4799999995</v>
      </c>
      <c r="G52" s="109" t="s">
        <v>6</v>
      </c>
      <c r="H52" s="453">
        <v>1.0699999999999999E-2</v>
      </c>
      <c r="I52" s="101">
        <f>ROUND(F52*H52,2)</f>
        <v>53999.02</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336106.06</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11.5</v>
      </c>
      <c r="D57" s="143">
        <v>0</v>
      </c>
      <c r="E57" s="116">
        <f t="shared" ref="E57:E65" si="10">IF(D$66=0,C57*2,C57+D57)</f>
        <v>23</v>
      </c>
      <c r="F57" s="494" t="s">
        <v>498</v>
      </c>
      <c r="G57" s="494">
        <v>251</v>
      </c>
      <c r="H57" s="508">
        <f>'1461'!H57</f>
        <v>1047</v>
      </c>
      <c r="I57" s="101">
        <f>ROUND(E57*H57,2)</f>
        <v>24081</v>
      </c>
      <c r="N57" s="848" t="s">
        <v>506</v>
      </c>
      <c r="O57" s="848"/>
      <c r="P57" s="850"/>
      <c r="Q57" s="850"/>
      <c r="R57" s="500" t="s">
        <v>498</v>
      </c>
      <c r="S57" s="500">
        <v>251</v>
      </c>
      <c r="T57" s="511">
        <f>H57</f>
        <v>1047</v>
      </c>
      <c r="U57" s="525">
        <f>ROUND(P57*T57,2)</f>
        <v>0</v>
      </c>
      <c r="V57" s="475"/>
    </row>
    <row r="58" spans="1:22" x14ac:dyDescent="0.25">
      <c r="A58" s="799"/>
      <c r="B58" s="799"/>
      <c r="C58" s="143">
        <v>1.5</v>
      </c>
      <c r="D58" s="143">
        <v>0</v>
      </c>
      <c r="E58" s="116">
        <f t="shared" si="10"/>
        <v>3</v>
      </c>
      <c r="F58" s="494" t="s">
        <v>498</v>
      </c>
      <c r="G58" s="494">
        <v>252</v>
      </c>
      <c r="H58" s="508">
        <f>'1461'!H58</f>
        <v>3380</v>
      </c>
      <c r="I58" s="101">
        <f t="shared" ref="I58:I65" si="11">ROUND(E58*H58,2)</f>
        <v>10140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23</v>
      </c>
      <c r="D60" s="143">
        <v>0</v>
      </c>
      <c r="E60" s="116">
        <f t="shared" si="10"/>
        <v>46</v>
      </c>
      <c r="F60" s="495" t="s">
        <v>13</v>
      </c>
      <c r="G60" s="494">
        <v>251</v>
      </c>
      <c r="H60" s="508">
        <f>'1461'!H60</f>
        <v>1173</v>
      </c>
      <c r="I60" s="101">
        <f t="shared" si="11"/>
        <v>53958</v>
      </c>
      <c r="N60" s="849"/>
      <c r="O60" s="849"/>
      <c r="P60" s="851"/>
      <c r="Q60" s="851"/>
      <c r="R60" s="40" t="s">
        <v>13</v>
      </c>
      <c r="S60" s="500">
        <v>251</v>
      </c>
      <c r="T60" s="511">
        <f t="shared" si="12"/>
        <v>1173</v>
      </c>
      <c r="U60" s="525">
        <f t="shared" si="13"/>
        <v>0</v>
      </c>
      <c r="V60" s="475"/>
    </row>
    <row r="61" spans="1:22" x14ac:dyDescent="0.25">
      <c r="A61" s="799"/>
      <c r="B61" s="799"/>
      <c r="C61" s="143">
        <v>3</v>
      </c>
      <c r="D61" s="143">
        <v>0</v>
      </c>
      <c r="E61" s="116">
        <f t="shared" si="10"/>
        <v>6</v>
      </c>
      <c r="F61" s="495" t="s">
        <v>13</v>
      </c>
      <c r="G61" s="494">
        <v>252</v>
      </c>
      <c r="H61" s="508">
        <f>'1461'!H61</f>
        <v>3506</v>
      </c>
      <c r="I61" s="101">
        <f t="shared" si="11"/>
        <v>21036</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IF(D$66=0,C62*2,C62+D62)</f>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39</v>
      </c>
      <c r="D66" s="97">
        <f>SUM(D57:D65)</f>
        <v>0</v>
      </c>
      <c r="E66" s="97">
        <f>SUM(E57:E65)</f>
        <v>78</v>
      </c>
      <c r="F66" s="800" t="s">
        <v>507</v>
      </c>
      <c r="G66" s="800"/>
      <c r="H66" s="800"/>
      <c r="I66" s="97">
        <f>SUM(I57:I65)</f>
        <v>109215</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763</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3.617E-3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820.30949999999996</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3.4520000000000002E-3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763</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4.084E-3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763</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3.6219999999999998E-3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763</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4.091E-3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3.6219999999999998E-3</v>
      </c>
      <c r="I85" s="101">
        <f>ROUND(F85*H85,2)</f>
        <v>167704.82</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3.617E-3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4.091E-3</v>
      </c>
      <c r="I90" s="101">
        <f>ROUND(F90*H90,2)</f>
        <v>78244.02</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4.084E-3</v>
      </c>
      <c r="I92" s="101">
        <f t="shared" ref="I92:I96" si="14">ROUND(F92*H92,2)</f>
        <v>47012.41</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3.4520000000000002E-3</v>
      </c>
      <c r="I94" s="101">
        <f t="shared" si="14"/>
        <v>882872.53</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3.4520000000000002E-3</v>
      </c>
      <c r="I96" s="101">
        <f t="shared" si="14"/>
        <v>-53312.88</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3.617E-3</v>
      </c>
      <c r="I98" s="101">
        <f t="shared" ref="I98" si="16">ROUND(F98*H98,2)</f>
        <v>20332.689999999999</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400.79719999999998</v>
      </c>
      <c r="D104" s="806"/>
      <c r="E104" s="46">
        <f>H8</f>
        <v>1.0407999999999999</v>
      </c>
      <c r="F104" s="302">
        <f>'1461'!F104</f>
        <v>950.92</v>
      </c>
      <c r="G104" s="39" t="s">
        <v>12</v>
      </c>
      <c r="H104" s="101">
        <f>ROUND(C104*E104*F104,2)</f>
        <v>396676.02</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419.51230000000004</v>
      </c>
      <c r="D105" s="806"/>
      <c r="E105" s="46">
        <f>H8</f>
        <v>1.0407999999999999</v>
      </c>
      <c r="F105" s="302">
        <f>'1461'!F105</f>
        <v>907.92</v>
      </c>
      <c r="G105" s="39" t="s">
        <v>12</v>
      </c>
      <c r="H105" s="101">
        <f>ROUND(C105*E105*F105,2)</f>
        <v>396423.66</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820.30950000000007</v>
      </c>
      <c r="D107" s="796"/>
      <c r="E107" s="123"/>
      <c r="F107" s="123"/>
      <c r="G107" s="123"/>
      <c r="H107" s="124" t="s">
        <v>100</v>
      </c>
      <c r="I107" s="101">
        <f>IF(A1=75,0,H106+H105+H104)</f>
        <v>793099.67999999993</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6596642.4000000004</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6260536.3400000008</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6260536.3400000008</v>
      </c>
      <c r="I135" s="94">
        <f>ROUND(IF(E30=0,0,IF(E30&gt;250,-(((250/E30)*H135)*IF(G135="H",0.02,0.05)),IF(G135="H",-0.02*H135,-0.05*H135))),2)</f>
        <v>-102564.49</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6494077.9100000001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Payments'!Q108</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6494077.9100000001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541173.16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210462.33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367</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J11" s="255"/>
      <c r="K11" s="254"/>
      <c r="L11" s="254"/>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J12" s="253"/>
      <c r="K12" s="254"/>
      <c r="L12" s="254"/>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K13" s="254"/>
      <c r="L13" s="254"/>
      <c r="N13" s="826" t="s">
        <v>36</v>
      </c>
      <c r="O13" s="826"/>
      <c r="P13" s="827" t="s">
        <v>37</v>
      </c>
      <c r="Q13" s="827"/>
      <c r="R13" s="828" t="s">
        <v>38</v>
      </c>
      <c r="S13" s="828"/>
      <c r="T13" s="22" t="s">
        <v>39</v>
      </c>
      <c r="U13" s="23" t="s">
        <v>40</v>
      </c>
    </row>
    <row r="14" spans="1:21" x14ac:dyDescent="0.25">
      <c r="A14" s="786" t="s">
        <v>20</v>
      </c>
      <c r="B14" s="786"/>
      <c r="C14" s="143">
        <v>177.86</v>
      </c>
      <c r="D14" s="141">
        <v>0</v>
      </c>
      <c r="E14" s="187">
        <f>IF(D$30=0,C14*2,C14+D14)</f>
        <v>355.72</v>
      </c>
      <c r="F14" s="829">
        <f>'1461'!F14:G14</f>
        <v>1.1180000000000001</v>
      </c>
      <c r="G14" s="829"/>
      <c r="H14" s="145">
        <f>ROUND(E14*F14,4)</f>
        <v>397.69499999999999</v>
      </c>
      <c r="I14" s="111">
        <f>ROUND(ROUND(ROUND(H14*$C$8,4)*($H$8),2)*(MAX($H$9,1)),2)</f>
        <v>2206604.34</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14.5</v>
      </c>
      <c r="D15" s="143">
        <v>0</v>
      </c>
      <c r="E15" s="116">
        <f t="shared" ref="E15:E29" si="1">IF(D$30=0,C15*2,C15+D15)</f>
        <v>29</v>
      </c>
      <c r="F15" s="833">
        <f>'1461'!F15:G15</f>
        <v>1.1180000000000001</v>
      </c>
      <c r="G15" s="833"/>
      <c r="H15" s="80">
        <f t="shared" ref="H15:H29" si="2">ROUND(E15*F15,4)</f>
        <v>32.421999999999997</v>
      </c>
      <c r="I15" s="101">
        <f t="shared" ref="I15:I29" si="3">ROUND(ROUND(ROUND(H15*$C$8,4)*($H$8),2)*(MAX($H$9,1)),2)</f>
        <v>179892.95</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227.76</v>
      </c>
      <c r="D16" s="143">
        <v>0</v>
      </c>
      <c r="E16" s="116">
        <f t="shared" si="1"/>
        <v>455.52</v>
      </c>
      <c r="F16" s="833">
        <f>'1461'!F16:G16</f>
        <v>1</v>
      </c>
      <c r="G16" s="833"/>
      <c r="H16" s="80">
        <f t="shared" si="2"/>
        <v>455.52</v>
      </c>
      <c r="I16" s="101">
        <f t="shared" si="3"/>
        <v>2527445.42</v>
      </c>
      <c r="N16" s="834" t="s">
        <v>22</v>
      </c>
      <c r="O16" s="834"/>
      <c r="P16" s="831">
        <f t="shared" si="0"/>
        <v>0</v>
      </c>
      <c r="Q16" s="831"/>
      <c r="R16" s="835">
        <v>1</v>
      </c>
      <c r="S16" s="835"/>
      <c r="T16" s="95">
        <f t="shared" si="4"/>
        <v>0</v>
      </c>
      <c r="U16" s="524">
        <f t="shared" si="5"/>
        <v>0</v>
      </c>
    </row>
    <row r="17" spans="1:21" x14ac:dyDescent="0.25">
      <c r="A17" s="788" t="s">
        <v>23</v>
      </c>
      <c r="B17" s="788"/>
      <c r="C17" s="143">
        <v>30.5</v>
      </c>
      <c r="D17" s="143">
        <v>0</v>
      </c>
      <c r="E17" s="116">
        <f t="shared" si="1"/>
        <v>61</v>
      </c>
      <c r="F17" s="833">
        <f>'1461'!F17:G17</f>
        <v>1</v>
      </c>
      <c r="G17" s="833"/>
      <c r="H17" s="80">
        <f t="shared" si="2"/>
        <v>61</v>
      </c>
      <c r="I17" s="101">
        <f t="shared" si="3"/>
        <v>338457.52</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19.36</v>
      </c>
      <c r="D26" s="143">
        <v>0</v>
      </c>
      <c r="E26" s="116">
        <f t="shared" si="1"/>
        <v>38.72</v>
      </c>
      <c r="F26" s="833">
        <f>'1461'!F26:G26</f>
        <v>1.1919999999999999</v>
      </c>
      <c r="G26" s="833"/>
      <c r="H26" s="80">
        <f t="shared" si="2"/>
        <v>46.154200000000003</v>
      </c>
      <c r="I26" s="101">
        <f t="shared" si="3"/>
        <v>256085.84</v>
      </c>
      <c r="N26" s="834" t="s">
        <v>85</v>
      </c>
      <c r="O26" s="834"/>
      <c r="P26" s="831">
        <f t="shared" si="0"/>
        <v>0</v>
      </c>
      <c r="Q26" s="831"/>
      <c r="R26" s="835">
        <v>1</v>
      </c>
      <c r="S26" s="835"/>
      <c r="T26" s="95">
        <f t="shared" si="4"/>
        <v>0</v>
      </c>
      <c r="U26" s="524">
        <f t="shared" si="5"/>
        <v>0</v>
      </c>
    </row>
    <row r="27" spans="1:21" x14ac:dyDescent="0.25">
      <c r="A27" s="788" t="s">
        <v>86</v>
      </c>
      <c r="B27" s="788"/>
      <c r="C27" s="143">
        <v>10.93</v>
      </c>
      <c r="D27" s="143">
        <v>0</v>
      </c>
      <c r="E27" s="116">
        <f t="shared" si="1"/>
        <v>21.86</v>
      </c>
      <c r="F27" s="833">
        <f>'1461'!F27:G27</f>
        <v>1.1919999999999999</v>
      </c>
      <c r="G27" s="833"/>
      <c r="H27" s="80">
        <f t="shared" si="2"/>
        <v>26.057099999999998</v>
      </c>
      <c r="I27" s="101">
        <f t="shared" si="3"/>
        <v>144577.4</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v>480.91</v>
      </c>
      <c r="D30" s="94">
        <f>SUM(D14:D29)</f>
        <v>0</v>
      </c>
      <c r="E30" s="94">
        <f>SUM(E14:E29)</f>
        <v>961.82</v>
      </c>
      <c r="F30" s="792"/>
      <c r="G30" s="792"/>
      <c r="H30" s="99">
        <f>SUM(H14:H29)</f>
        <v>1018.8482999999999</v>
      </c>
      <c r="I30" s="94">
        <f>SUM(I14:I29)</f>
        <v>5653063.4700000007</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1018.8482999999999</v>
      </c>
      <c r="F46" s="34"/>
      <c r="G46" s="106"/>
      <c r="H46" s="107" t="s">
        <v>98</v>
      </c>
      <c r="I46" s="94">
        <f>SUM(I44,I30)</f>
        <v>5653063.4700000007</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5612096.7999999998</v>
      </c>
      <c r="G51" s="109" t="s">
        <v>6</v>
      </c>
      <c r="H51" s="453">
        <v>5.5899999999999998E-2</v>
      </c>
      <c r="I51" s="101">
        <f>ROUND(F51*H51,2)</f>
        <v>313716.21000000002</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5612096.7999999998</v>
      </c>
      <c r="G52" s="109" t="s">
        <v>6</v>
      </c>
      <c r="H52" s="453">
        <v>1.0699999999999999E-2</v>
      </c>
      <c r="I52" s="101">
        <f>ROUND(F52*H52,2)</f>
        <v>60049.440000000002</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373765.65</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10</v>
      </c>
      <c r="D57" s="143">
        <v>0</v>
      </c>
      <c r="E57" s="116">
        <f t="shared" ref="E57:E65" si="10">IF(D$66=0,C57*2,C57+D57)</f>
        <v>20</v>
      </c>
      <c r="F57" s="494" t="s">
        <v>498</v>
      </c>
      <c r="G57" s="494">
        <v>251</v>
      </c>
      <c r="H57" s="508">
        <f>'1461'!H57</f>
        <v>1047</v>
      </c>
      <c r="I57" s="101">
        <f>ROUND(E57*H57,2)</f>
        <v>20940</v>
      </c>
      <c r="N57" s="848" t="s">
        <v>506</v>
      </c>
      <c r="O57" s="848"/>
      <c r="P57" s="850"/>
      <c r="Q57" s="850"/>
      <c r="R57" s="500" t="s">
        <v>498</v>
      </c>
      <c r="S57" s="500">
        <v>251</v>
      </c>
      <c r="T57" s="511">
        <f>H57</f>
        <v>1047</v>
      </c>
      <c r="U57" s="525">
        <f>ROUND(P57*T57,2)</f>
        <v>0</v>
      </c>
      <c r="V57" s="475"/>
    </row>
    <row r="58" spans="1:22" x14ac:dyDescent="0.25">
      <c r="A58" s="799"/>
      <c r="B58" s="799"/>
      <c r="C58" s="143">
        <v>4</v>
      </c>
      <c r="D58" s="143">
        <v>0</v>
      </c>
      <c r="E58" s="116">
        <f t="shared" si="10"/>
        <v>8</v>
      </c>
      <c r="F58" s="494" t="s">
        <v>498</v>
      </c>
      <c r="G58" s="494">
        <v>252</v>
      </c>
      <c r="H58" s="508">
        <f>'1461'!H58</f>
        <v>3380</v>
      </c>
      <c r="I58" s="101">
        <f t="shared" ref="I58:I65" si="11">ROUND(E58*H58,2)</f>
        <v>27040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0.5</v>
      </c>
      <c r="D59" s="143">
        <v>0</v>
      </c>
      <c r="E59" s="116">
        <f t="shared" si="10"/>
        <v>1</v>
      </c>
      <c r="F59" s="494" t="s">
        <v>498</v>
      </c>
      <c r="G59" s="494">
        <v>253</v>
      </c>
      <c r="H59" s="508">
        <f>'1461'!H59</f>
        <v>6896</v>
      </c>
      <c r="I59" s="101">
        <f t="shared" si="11"/>
        <v>6896</v>
      </c>
      <c r="N59" s="849"/>
      <c r="O59" s="849"/>
      <c r="P59" s="851"/>
      <c r="Q59" s="851"/>
      <c r="R59" s="500" t="s">
        <v>498</v>
      </c>
      <c r="S59" s="500">
        <v>253</v>
      </c>
      <c r="T59" s="511">
        <f t="shared" si="12"/>
        <v>6896</v>
      </c>
      <c r="U59" s="525">
        <f t="shared" si="13"/>
        <v>0</v>
      </c>
      <c r="V59" s="475"/>
    </row>
    <row r="60" spans="1:22" x14ac:dyDescent="0.25">
      <c r="A60" s="799"/>
      <c r="B60" s="799"/>
      <c r="C60" s="143">
        <v>21.5</v>
      </c>
      <c r="D60" s="143">
        <v>0</v>
      </c>
      <c r="E60" s="116">
        <f t="shared" si="10"/>
        <v>43</v>
      </c>
      <c r="F60" s="495" t="s">
        <v>13</v>
      </c>
      <c r="G60" s="494">
        <v>251</v>
      </c>
      <c r="H60" s="508">
        <f>'1461'!H60</f>
        <v>1173</v>
      </c>
      <c r="I60" s="101">
        <f t="shared" si="11"/>
        <v>50439</v>
      </c>
      <c r="N60" s="849"/>
      <c r="O60" s="849"/>
      <c r="P60" s="851"/>
      <c r="Q60" s="851"/>
      <c r="R60" s="40" t="s">
        <v>13</v>
      </c>
      <c r="S60" s="500">
        <v>251</v>
      </c>
      <c r="T60" s="511">
        <f t="shared" si="12"/>
        <v>1173</v>
      </c>
      <c r="U60" s="525">
        <f t="shared" si="13"/>
        <v>0</v>
      </c>
      <c r="V60" s="475"/>
    </row>
    <row r="61" spans="1:22" x14ac:dyDescent="0.25">
      <c r="A61" s="799"/>
      <c r="B61" s="799"/>
      <c r="C61" s="143">
        <v>9</v>
      </c>
      <c r="D61" s="143">
        <v>0</v>
      </c>
      <c r="E61" s="116">
        <f t="shared" si="10"/>
        <v>18</v>
      </c>
      <c r="F61" s="495" t="s">
        <v>13</v>
      </c>
      <c r="G61" s="494">
        <v>252</v>
      </c>
      <c r="H61" s="508">
        <f>'1461'!H61</f>
        <v>3506</v>
      </c>
      <c r="I61" s="101">
        <f t="shared" si="11"/>
        <v>63108</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45</v>
      </c>
      <c r="D66" s="97">
        <f>SUM(D57:D65)</f>
        <v>0</v>
      </c>
      <c r="E66" s="97">
        <f>SUM(E57:E65)</f>
        <v>90</v>
      </c>
      <c r="F66" s="800" t="s">
        <v>507</v>
      </c>
      <c r="G66" s="800"/>
      <c r="H66" s="800"/>
      <c r="I66" s="97">
        <f>SUM(I57:I65)</f>
        <v>168423</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961.82</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4.5599999999999998E-3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1018.8482999999999</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4.2880000000000001E-3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961.82</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5.1479999999999998E-3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961.82</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4.5659999999999997E-3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961.82</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5.1570000000000001E-3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4.5659999999999997E-3</v>
      </c>
      <c r="I85" s="101">
        <f>ROUND(F85*H85,2)</f>
        <v>211413.64</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4.5599999999999998E-3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5.1570000000000001E-3</v>
      </c>
      <c r="I90" s="101">
        <f>ROUND(F90*H90,2)</f>
        <v>98632.21</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5.1479999999999998E-3</v>
      </c>
      <c r="I92" s="101">
        <f t="shared" ref="I92:I96" si="14">ROUND(F92*H92,2)</f>
        <v>59260.5</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4.2880000000000001E-3</v>
      </c>
      <c r="I94" s="101">
        <f t="shared" si="14"/>
        <v>1096685.23</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4.2880000000000001E-3</v>
      </c>
      <c r="I96" s="101">
        <f t="shared" si="14"/>
        <v>-66224.11</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4.5599999999999998E-3</v>
      </c>
      <c r="I98" s="101">
        <f t="shared" ref="I98" si="16">ROUND(F98*H98,2)</f>
        <v>25633.69</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476.27119999999996</v>
      </c>
      <c r="D104" s="806"/>
      <c r="E104" s="46">
        <f>H8</f>
        <v>1.0407999999999999</v>
      </c>
      <c r="F104" s="302">
        <f>'1461'!F104</f>
        <v>950.92</v>
      </c>
      <c r="G104" s="39" t="s">
        <v>12</v>
      </c>
      <c r="H104" s="101">
        <f>ROUND(C104*E104*F104,2)</f>
        <v>471373.96</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542.57709999999997</v>
      </c>
      <c r="D105" s="806"/>
      <c r="E105" s="46">
        <f>H8</f>
        <v>1.0407999999999999</v>
      </c>
      <c r="F105" s="302">
        <f>'1461'!F105</f>
        <v>907.92</v>
      </c>
      <c r="G105" s="39" t="s">
        <v>12</v>
      </c>
      <c r="H105" s="101">
        <f>ROUND(C105*E105*F105,2)</f>
        <v>512715.36</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1018.8482999999999</v>
      </c>
      <c r="D107" s="796"/>
      <c r="E107" s="123"/>
      <c r="F107" s="123"/>
      <c r="G107" s="123"/>
      <c r="H107" s="124" t="s">
        <v>100</v>
      </c>
      <c r="I107" s="101">
        <f>IF(A1=75,0,H106+H105+H104)</f>
        <v>984089.32000000007</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179</v>
      </c>
      <c r="D113" s="143">
        <v>0</v>
      </c>
      <c r="E113" s="116">
        <f>(C113+D113)</f>
        <v>179</v>
      </c>
      <c r="F113" s="126" t="s">
        <v>30</v>
      </c>
      <c r="G113" s="303">
        <f>'1461'!G113</f>
        <v>607</v>
      </c>
      <c r="I113" s="101">
        <f>ROUND(G113*E113,2)</f>
        <v>108653</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8339629.9500000011</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7965864.3000000007</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7965864.3000000007</v>
      </c>
      <c r="I135" s="94">
        <f>ROUND(IF(E30=0,0,IF(E30&gt;250,-(((250/E30)*H135)*IF(G135="H",0.02,0.05)),IF(G135="H",-0.02*H135,-0.05*H135))),2)</f>
        <v>-103525.92</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8236104.0300000012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Payments'!Q109</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8236104.0300000012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686342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294767.3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R103:U103"/>
    <mergeCell ref="C104:D104"/>
    <mergeCell ref="P104:Q104"/>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243</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39.799999999999997</v>
      </c>
      <c r="D14" s="141">
        <v>0</v>
      </c>
      <c r="E14" s="187">
        <f>IF(D$30=0,C14*2,C14+D14)</f>
        <v>79.599999999999994</v>
      </c>
      <c r="F14" s="829">
        <f>'1461'!F14:G14</f>
        <v>1.1180000000000001</v>
      </c>
      <c r="G14" s="829"/>
      <c r="H14" s="145">
        <f>ROUND(E14*F14,4)</f>
        <v>88.992800000000003</v>
      </c>
      <c r="I14" s="111">
        <f>ROUND(ROUND(ROUND(H14*$C$8,4)*($H$8),2)*(MAX($H$9,1)),2)</f>
        <v>493775.13</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2.5</v>
      </c>
      <c r="D15" s="143">
        <v>0</v>
      </c>
      <c r="E15" s="116">
        <f t="shared" ref="E15:E29" si="1">IF(D$30=0,C15*2,C15+D15)</f>
        <v>5</v>
      </c>
      <c r="F15" s="833">
        <f>'1461'!F15:G15</f>
        <v>1.1180000000000001</v>
      </c>
      <c r="G15" s="833"/>
      <c r="H15" s="80">
        <f t="shared" ref="H15:H29" si="2">ROUND(E15*F15,4)</f>
        <v>5.59</v>
      </c>
      <c r="I15" s="101">
        <f t="shared" ref="I15:I29" si="3">ROUND(ROUND(ROUND(H15*$C$8,4)*($H$8),2)*(MAX($H$9,1)),2)</f>
        <v>31016.03</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66.459999999999994</v>
      </c>
      <c r="D16" s="143">
        <v>0</v>
      </c>
      <c r="E16" s="116">
        <f t="shared" si="1"/>
        <v>132.91999999999999</v>
      </c>
      <c r="F16" s="833">
        <f>'1461'!F16:G16</f>
        <v>1</v>
      </c>
      <c r="G16" s="833"/>
      <c r="H16" s="80">
        <f t="shared" si="2"/>
        <v>132.91999999999999</v>
      </c>
      <c r="I16" s="101">
        <f t="shared" si="3"/>
        <v>737504.49</v>
      </c>
      <c r="N16" s="834" t="s">
        <v>22</v>
      </c>
      <c r="O16" s="834"/>
      <c r="P16" s="831">
        <f t="shared" si="0"/>
        <v>0</v>
      </c>
      <c r="Q16" s="831"/>
      <c r="R16" s="835">
        <v>1</v>
      </c>
      <c r="S16" s="835"/>
      <c r="T16" s="95">
        <f t="shared" si="4"/>
        <v>0</v>
      </c>
      <c r="U16" s="524">
        <f t="shared" si="5"/>
        <v>0</v>
      </c>
    </row>
    <row r="17" spans="1:21" x14ac:dyDescent="0.25">
      <c r="A17" s="788" t="s">
        <v>23</v>
      </c>
      <c r="B17" s="788"/>
      <c r="C17" s="143">
        <v>4</v>
      </c>
      <c r="D17" s="143">
        <v>0</v>
      </c>
      <c r="E17" s="116">
        <f t="shared" si="1"/>
        <v>8</v>
      </c>
      <c r="F17" s="833">
        <f>'1461'!F17:G17</f>
        <v>1</v>
      </c>
      <c r="G17" s="833"/>
      <c r="H17" s="80">
        <f t="shared" si="2"/>
        <v>8</v>
      </c>
      <c r="I17" s="101">
        <f t="shared" si="3"/>
        <v>44387.87</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6.08</v>
      </c>
      <c r="D26" s="143">
        <v>0</v>
      </c>
      <c r="E26" s="116">
        <f t="shared" si="1"/>
        <v>12.16</v>
      </c>
      <c r="F26" s="833">
        <f>'1461'!F26:G26</f>
        <v>1.1919999999999999</v>
      </c>
      <c r="G26" s="833"/>
      <c r="H26" s="80">
        <f t="shared" si="2"/>
        <v>14.4947</v>
      </c>
      <c r="I26" s="101">
        <f t="shared" si="3"/>
        <v>80423.61</v>
      </c>
      <c r="N26" s="834" t="s">
        <v>85</v>
      </c>
      <c r="O26" s="834"/>
      <c r="P26" s="831">
        <f t="shared" si="0"/>
        <v>0</v>
      </c>
      <c r="Q26" s="831"/>
      <c r="R26" s="835">
        <v>1</v>
      </c>
      <c r="S26" s="835"/>
      <c r="T26" s="95">
        <f t="shared" si="4"/>
        <v>0</v>
      </c>
      <c r="U26" s="524">
        <f t="shared" si="5"/>
        <v>0</v>
      </c>
    </row>
    <row r="27" spans="1:21" x14ac:dyDescent="0.25">
      <c r="A27" s="788" t="s">
        <v>86</v>
      </c>
      <c r="B27" s="788"/>
      <c r="C27" s="143">
        <v>3.54</v>
      </c>
      <c r="D27" s="143">
        <v>0</v>
      </c>
      <c r="E27" s="116">
        <f t="shared" si="1"/>
        <v>7.08</v>
      </c>
      <c r="F27" s="833">
        <f>'1461'!F27:G27</f>
        <v>1.1919999999999999</v>
      </c>
      <c r="G27" s="833"/>
      <c r="H27" s="80">
        <f t="shared" si="2"/>
        <v>8.4393999999999991</v>
      </c>
      <c r="I27" s="101">
        <f t="shared" si="3"/>
        <v>46825.88</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122.38</v>
      </c>
      <c r="D30" s="94">
        <f>SUM(D14:D29)</f>
        <v>0</v>
      </c>
      <c r="E30" s="94">
        <f>SUM(E14:E29)</f>
        <v>244.76</v>
      </c>
      <c r="F30" s="792"/>
      <c r="G30" s="792"/>
      <c r="H30" s="99">
        <f>SUM(H14:H29)</f>
        <v>258.43689999999998</v>
      </c>
      <c r="I30" s="94">
        <f>SUM(I14:I29)</f>
        <v>1433933.01</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42">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44">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44">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44">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44">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36">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258.43689999999998</v>
      </c>
      <c r="F46" s="34"/>
      <c r="G46" s="106"/>
      <c r="H46" s="107" t="s">
        <v>98</v>
      </c>
      <c r="I46" s="94">
        <f>SUM(I44,I30)</f>
        <v>1433933.01</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1623701.6999999997</v>
      </c>
      <c r="G51" s="109" t="s">
        <v>6</v>
      </c>
      <c r="H51" s="453">
        <v>5.5899999999999998E-2</v>
      </c>
      <c r="I51" s="101">
        <f>ROUND(F51*H51,2)</f>
        <v>90764.93</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1623701.6999999997</v>
      </c>
      <c r="G52" s="109" t="s">
        <v>6</v>
      </c>
      <c r="H52" s="453">
        <v>1.0699999999999999E-2</v>
      </c>
      <c r="I52" s="101">
        <f>ROUND(F52*H52,2)</f>
        <v>17373.61</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108138.54</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0.5</v>
      </c>
      <c r="D57" s="143">
        <v>0</v>
      </c>
      <c r="E57" s="116">
        <f t="shared" ref="E57:E65" si="10">IF(D$66=0,C57*2,C57+D57)</f>
        <v>1</v>
      </c>
      <c r="F57" s="494" t="s">
        <v>498</v>
      </c>
      <c r="G57" s="494">
        <v>251</v>
      </c>
      <c r="H57" s="508">
        <f>'1461'!H57</f>
        <v>1047</v>
      </c>
      <c r="I57" s="101">
        <f>ROUND(E57*H57,2)</f>
        <v>1047</v>
      </c>
      <c r="N57" s="848" t="s">
        <v>506</v>
      </c>
      <c r="O57" s="848"/>
      <c r="P57" s="850"/>
      <c r="Q57" s="850"/>
      <c r="R57" s="500" t="s">
        <v>498</v>
      </c>
      <c r="S57" s="500">
        <v>251</v>
      </c>
      <c r="T57" s="511">
        <f>H57</f>
        <v>1047</v>
      </c>
      <c r="U57" s="525">
        <f>ROUND(P57*T57,2)</f>
        <v>0</v>
      </c>
      <c r="V57" s="475"/>
    </row>
    <row r="58" spans="1:22" x14ac:dyDescent="0.25">
      <c r="A58" s="799"/>
      <c r="B58" s="799"/>
      <c r="C58" s="143">
        <v>2</v>
      </c>
      <c r="D58" s="143">
        <v>0</v>
      </c>
      <c r="E58" s="116">
        <f t="shared" si="10"/>
        <v>4</v>
      </c>
      <c r="F58" s="494" t="s">
        <v>498</v>
      </c>
      <c r="G58" s="494">
        <v>252</v>
      </c>
      <c r="H58" s="508">
        <f>'1461'!H58</f>
        <v>3380</v>
      </c>
      <c r="I58" s="101">
        <f t="shared" ref="I58:I65" si="11">ROUND(E58*H58,2)</f>
        <v>13520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3.5</v>
      </c>
      <c r="D60" s="143">
        <v>0</v>
      </c>
      <c r="E60" s="116">
        <f t="shared" si="10"/>
        <v>7</v>
      </c>
      <c r="F60" s="495" t="s">
        <v>13</v>
      </c>
      <c r="G60" s="494">
        <v>251</v>
      </c>
      <c r="H60" s="508">
        <f>'1461'!H60</f>
        <v>1173</v>
      </c>
      <c r="I60" s="101">
        <f t="shared" si="11"/>
        <v>8211</v>
      </c>
      <c r="N60" s="849"/>
      <c r="O60" s="849"/>
      <c r="P60" s="851"/>
      <c r="Q60" s="851"/>
      <c r="R60" s="40" t="s">
        <v>13</v>
      </c>
      <c r="S60" s="500">
        <v>251</v>
      </c>
      <c r="T60" s="511">
        <f t="shared" si="12"/>
        <v>1173</v>
      </c>
      <c r="U60" s="525">
        <f t="shared" si="13"/>
        <v>0</v>
      </c>
      <c r="V60" s="475"/>
    </row>
    <row r="61" spans="1:22" x14ac:dyDescent="0.25">
      <c r="A61" s="799"/>
      <c r="B61" s="799"/>
      <c r="C61" s="143">
        <v>0.5</v>
      </c>
      <c r="D61" s="143">
        <v>0</v>
      </c>
      <c r="E61" s="116">
        <f t="shared" si="10"/>
        <v>1</v>
      </c>
      <c r="F61" s="495" t="s">
        <v>13</v>
      </c>
      <c r="G61" s="494">
        <v>252</v>
      </c>
      <c r="H61" s="508">
        <f>'1461'!H61</f>
        <v>3506</v>
      </c>
      <c r="I61" s="101">
        <f t="shared" si="11"/>
        <v>3506</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6.5</v>
      </c>
      <c r="D66" s="97">
        <f>SUM(D57:D65)</f>
        <v>0</v>
      </c>
      <c r="E66" s="97">
        <f>SUM(E57:E65)</f>
        <v>13</v>
      </c>
      <c r="F66" s="800" t="s">
        <v>507</v>
      </c>
      <c r="G66" s="800"/>
      <c r="H66" s="800"/>
      <c r="I66" s="97">
        <f>SUM(I57:I65)</f>
        <v>26284</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244.76</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1.16E-3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258.43689999999998</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1.088E-3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244.76</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1.31E-3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244.76</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1.1620000000000001E-3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244.76</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1.312E-3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1.1620000000000001E-3</v>
      </c>
      <c r="I85" s="101">
        <f>ROUND(F85*H85,2)</f>
        <v>53802.6</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53"/>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1.16E-3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1.312E-3</v>
      </c>
      <c r="I90" s="101">
        <f>ROUND(F90*H90,2)</f>
        <v>25093.17</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1.31E-3</v>
      </c>
      <c r="I92" s="101">
        <f t="shared" ref="I92:I96" si="14">ROUND(F92*H92,2)</f>
        <v>15079.89</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1.088E-3</v>
      </c>
      <c r="I94" s="101">
        <f t="shared" si="14"/>
        <v>278263.42</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1.088E-3</v>
      </c>
      <c r="I96" s="101">
        <f t="shared" si="14"/>
        <v>-16803.13</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1.16E-3</v>
      </c>
      <c r="I98" s="101">
        <f t="shared" ref="I98" si="16">ROUND(F98*H98,2)</f>
        <v>6520.85</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109.0775</v>
      </c>
      <c r="D104" s="806"/>
      <c r="E104" s="46">
        <f>H8</f>
        <v>1.0407999999999999</v>
      </c>
      <c r="F104" s="302">
        <f>'1461'!F104</f>
        <v>950.92</v>
      </c>
      <c r="G104" s="39" t="s">
        <v>12</v>
      </c>
      <c r="H104" s="101">
        <f>ROUND(C104*E104*F104,2)</f>
        <v>107955.91</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149.35939999999999</v>
      </c>
      <c r="D105" s="806"/>
      <c r="E105" s="46">
        <f>H8</f>
        <v>1.0407999999999999</v>
      </c>
      <c r="F105" s="302">
        <f>'1461'!F105</f>
        <v>907.92</v>
      </c>
      <c r="G105" s="39" t="s">
        <v>12</v>
      </c>
      <c r="H105" s="101">
        <f>ROUND(C105*E105*F105,2)</f>
        <v>141139.13</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258.43689999999998</v>
      </c>
      <c r="D107" s="796"/>
      <c r="E107" s="123"/>
      <c r="F107" s="123"/>
      <c r="G107" s="123"/>
      <c r="H107" s="124" t="s">
        <v>100</v>
      </c>
      <c r="I107" s="101">
        <f>IF(A1=75,0,H106+H105+H104)</f>
        <v>249095.04000000001</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34</v>
      </c>
      <c r="D113" s="143">
        <v>0</v>
      </c>
      <c r="E113" s="144">
        <f>(C113+D113)</f>
        <v>34</v>
      </c>
      <c r="F113" s="126" t="s">
        <v>30</v>
      </c>
      <c r="G113" s="303">
        <f>'1461'!G113</f>
        <v>607</v>
      </c>
      <c r="I113" s="101">
        <f>ROUND(G113*E113,2)</f>
        <v>20638</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44">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42">
        <f>IF(D30=0,C121*2,C121+D121)</f>
        <v>0</v>
      </c>
      <c r="F121" s="885">
        <v>0</v>
      </c>
      <c r="G121" s="885"/>
      <c r="H121" s="61">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44">
        <f>IF(D31=0,C122*2,C122+D122)</f>
        <v>0</v>
      </c>
      <c r="F122" s="808">
        <f>ROUND(F121/2,2)</f>
        <v>0</v>
      </c>
      <c r="G122" s="808"/>
      <c r="H122" s="61">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44">
        <f>IF(D32=0,C123*2,C123+D123)</f>
        <v>0</v>
      </c>
      <c r="F123" s="809"/>
      <c r="G123" s="809"/>
      <c r="H123" s="63">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2091906.85</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1983768.31</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1983768.31</v>
      </c>
      <c r="I135" s="94">
        <f>ROUND(IF(E30=0,0,IF(E30&gt;250,-(((250/E30)*H135)*IF(G135="H",0.02,0.05)),IF(G135="H",-0.02*H135,-0.05*H135))),2)</f>
        <v>-99188.42</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1992718.4300000002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Payments'!Q110</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1992718.4300000002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166059.87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235</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49.24</v>
      </c>
      <c r="D18" s="143">
        <v>0</v>
      </c>
      <c r="E18" s="116">
        <f t="shared" si="1"/>
        <v>98.48</v>
      </c>
      <c r="F18" s="833">
        <f>'1461'!F18:G18</f>
        <v>0.97799999999999998</v>
      </c>
      <c r="G18" s="833"/>
      <c r="H18" s="80">
        <f t="shared" si="2"/>
        <v>96.313400000000001</v>
      </c>
      <c r="I18" s="101">
        <f t="shared" si="3"/>
        <v>534393.36</v>
      </c>
      <c r="N18" s="834" t="s">
        <v>24</v>
      </c>
      <c r="O18" s="834"/>
      <c r="P18" s="831">
        <f t="shared" si="0"/>
        <v>0</v>
      </c>
      <c r="Q18" s="831"/>
      <c r="R18" s="835">
        <v>1</v>
      </c>
      <c r="S18" s="835"/>
      <c r="T18" s="95">
        <f t="shared" si="4"/>
        <v>0</v>
      </c>
      <c r="U18" s="524">
        <f t="shared" si="5"/>
        <v>0</v>
      </c>
    </row>
    <row r="19" spans="1:21" x14ac:dyDescent="0.25">
      <c r="A19" s="788" t="s">
        <v>25</v>
      </c>
      <c r="B19" s="788"/>
      <c r="C19" s="143">
        <v>10.88</v>
      </c>
      <c r="D19" s="143">
        <v>0</v>
      </c>
      <c r="E19" s="116">
        <f t="shared" si="1"/>
        <v>21.76</v>
      </c>
      <c r="F19" s="833">
        <f>'1461'!F19:G19</f>
        <v>0.97799999999999998</v>
      </c>
      <c r="G19" s="833"/>
      <c r="H19" s="80">
        <f t="shared" si="2"/>
        <v>21.281300000000002</v>
      </c>
      <c r="I19" s="101">
        <f t="shared" si="3"/>
        <v>118078.95</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4.0199999999999996</v>
      </c>
      <c r="D28" s="143">
        <v>0</v>
      </c>
      <c r="E28" s="116">
        <f t="shared" si="1"/>
        <v>8.0399999999999991</v>
      </c>
      <c r="F28" s="833">
        <f>'1461'!F28:G28</f>
        <v>1.1919999999999999</v>
      </c>
      <c r="G28" s="833"/>
      <c r="H28" s="80">
        <f t="shared" si="2"/>
        <v>9.5837000000000003</v>
      </c>
      <c r="I28" s="101">
        <f t="shared" si="3"/>
        <v>53175.01</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64.14</v>
      </c>
      <c r="D30" s="94">
        <f>SUM(D14:D29)</f>
        <v>0</v>
      </c>
      <c r="E30" s="94">
        <f>SUM(E14:E29)</f>
        <v>128.28</v>
      </c>
      <c r="F30" s="792"/>
      <c r="G30" s="792"/>
      <c r="H30" s="99">
        <f>SUM(H14:H29)</f>
        <v>127.17840000000001</v>
      </c>
      <c r="I30" s="94">
        <f>SUM(I14:I29)</f>
        <v>705647.32</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42">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44">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44">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44">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44">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36">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127.17840000000001</v>
      </c>
      <c r="F46" s="34"/>
      <c r="G46" s="106"/>
      <c r="H46" s="107" t="s">
        <v>98</v>
      </c>
      <c r="I46" s="94">
        <f>SUM(I44,I30)</f>
        <v>705647.32</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685148.45000000007</v>
      </c>
      <c r="G51" s="109" t="s">
        <v>6</v>
      </c>
      <c r="H51" s="453">
        <v>5.5899999999999998E-2</v>
      </c>
      <c r="I51" s="101">
        <f>ROUND(F51*H51,2)</f>
        <v>38299.800000000003</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685148.45000000007</v>
      </c>
      <c r="G52" s="109" t="s">
        <v>6</v>
      </c>
      <c r="H52" s="453">
        <v>1.0699999999999999E-2</v>
      </c>
      <c r="I52" s="101">
        <f>ROUND(F52*H52,2)</f>
        <v>7331.09</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45630.89</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9.3699999999999992</v>
      </c>
      <c r="D63" s="143">
        <v>0</v>
      </c>
      <c r="E63" s="116">
        <f t="shared" si="10"/>
        <v>18.739999999999998</v>
      </c>
      <c r="F63" s="495" t="s">
        <v>14</v>
      </c>
      <c r="G63" s="494">
        <v>251</v>
      </c>
      <c r="H63" s="508">
        <f>'1461'!H63</f>
        <v>835</v>
      </c>
      <c r="I63" s="101">
        <f t="shared" si="11"/>
        <v>15647.9</v>
      </c>
      <c r="N63" s="849"/>
      <c r="O63" s="849"/>
      <c r="P63" s="851"/>
      <c r="Q63" s="851"/>
      <c r="R63" s="40" t="s">
        <v>14</v>
      </c>
      <c r="S63" s="500">
        <v>251</v>
      </c>
      <c r="T63" s="511">
        <f t="shared" si="12"/>
        <v>835</v>
      </c>
      <c r="U63" s="525">
        <f t="shared" si="13"/>
        <v>0</v>
      </c>
      <c r="V63" s="475"/>
    </row>
    <row r="64" spans="1:22" x14ac:dyDescent="0.25">
      <c r="A64" s="799"/>
      <c r="B64" s="799"/>
      <c r="C64" s="143">
        <v>0.5</v>
      </c>
      <c r="D64" s="143">
        <v>0</v>
      </c>
      <c r="E64" s="116">
        <f t="shared" si="10"/>
        <v>1</v>
      </c>
      <c r="F64" s="495" t="s">
        <v>14</v>
      </c>
      <c r="G64" s="494">
        <v>252</v>
      </c>
      <c r="H64" s="508">
        <f>'1461'!H64</f>
        <v>3168</v>
      </c>
      <c r="I64" s="101">
        <f t="shared" si="11"/>
        <v>3168</v>
      </c>
      <c r="N64" s="849"/>
      <c r="O64" s="849"/>
      <c r="P64" s="851"/>
      <c r="Q64" s="851"/>
      <c r="R64" s="40" t="s">
        <v>14</v>
      </c>
      <c r="S64" s="500">
        <v>252</v>
      </c>
      <c r="T64" s="511">
        <f t="shared" si="12"/>
        <v>3168</v>
      </c>
      <c r="U64" s="525">
        <f t="shared" si="13"/>
        <v>0</v>
      </c>
      <c r="V64" s="475"/>
    </row>
    <row r="65" spans="1:22" ht="16.5" thickBot="1" x14ac:dyDescent="0.3">
      <c r="A65" s="799"/>
      <c r="B65" s="799"/>
      <c r="C65" s="143">
        <v>1.01</v>
      </c>
      <c r="D65" s="143">
        <v>0</v>
      </c>
      <c r="E65" s="116">
        <f t="shared" si="10"/>
        <v>2.02</v>
      </c>
      <c r="F65" s="495" t="s">
        <v>14</v>
      </c>
      <c r="G65" s="494">
        <v>253</v>
      </c>
      <c r="H65" s="508">
        <f>'1461'!H65</f>
        <v>6685</v>
      </c>
      <c r="I65" s="101">
        <f t="shared" si="11"/>
        <v>13503.7</v>
      </c>
      <c r="N65" s="849"/>
      <c r="O65" s="849"/>
      <c r="P65" s="857"/>
      <c r="Q65" s="857"/>
      <c r="R65" s="40" t="s">
        <v>14</v>
      </c>
      <c r="S65" s="500">
        <v>253</v>
      </c>
      <c r="T65" s="511">
        <f t="shared" si="12"/>
        <v>6685</v>
      </c>
      <c r="U65" s="526">
        <f t="shared" si="13"/>
        <v>0</v>
      </c>
      <c r="V65" s="475"/>
    </row>
    <row r="66" spans="1:22" ht="16.5" thickBot="1" x14ac:dyDescent="0.3">
      <c r="A66" s="491"/>
      <c r="C66" s="97">
        <f>SUM(C57:C65)</f>
        <v>10.879999999999999</v>
      </c>
      <c r="D66" s="97">
        <f>SUM(D57:D65)</f>
        <v>0</v>
      </c>
      <c r="E66" s="97">
        <f>SUM(E57:E65)</f>
        <v>21.759999999999998</v>
      </c>
      <c r="F66" s="800" t="s">
        <v>507</v>
      </c>
      <c r="G66" s="800"/>
      <c r="H66" s="800"/>
      <c r="I66" s="97">
        <f>SUM(I57:I65)</f>
        <v>32319.600000000002</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128.28</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6.0800000000000003E-4</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127.17840000000001</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5.3499999999999999E-4</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128.28</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6.87E-4</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128.28</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6.0899999999999995E-4</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128.28</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6.8800000000000003E-4</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6.0899999999999995E-4</v>
      </c>
      <c r="I85" s="101">
        <f>ROUND(F85*H85,2)</f>
        <v>28197.75</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53"/>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6.0800000000000003E-4</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6.8800000000000003E-4</v>
      </c>
      <c r="I90" s="101">
        <f>ROUND(F90*H90,2)</f>
        <v>13158.61</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6.87E-4</v>
      </c>
      <c r="I92" s="101">
        <f t="shared" ref="I92:I96" si="14">ROUND(F92*H92,2)</f>
        <v>7908.31</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5.3499999999999999E-4</v>
      </c>
      <c r="I94" s="101">
        <f t="shared" si="14"/>
        <v>136829.9</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5.3499999999999999E-4</v>
      </c>
      <c r="I96" s="101">
        <f t="shared" si="14"/>
        <v>-8262.57</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6.0800000000000003E-4</v>
      </c>
      <c r="I98" s="101">
        <f t="shared" ref="I98" si="16">ROUND(F98*H98,2)</f>
        <v>3417.83</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127.17840000000001</v>
      </c>
      <c r="D106" s="806"/>
      <c r="E106" s="46">
        <f>H8</f>
        <v>1.0407999999999999</v>
      </c>
      <c r="F106" s="302">
        <f>'1461'!F106</f>
        <v>910.12</v>
      </c>
      <c r="G106" s="39" t="s">
        <v>12</v>
      </c>
      <c r="H106" s="94">
        <f>ROUND(C106*E106*F106,2)</f>
        <v>120470.11</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127.17840000000001</v>
      </c>
      <c r="D107" s="796"/>
      <c r="E107" s="123"/>
      <c r="F107" s="123"/>
      <c r="G107" s="123"/>
      <c r="H107" s="124" t="s">
        <v>100</v>
      </c>
      <c r="I107" s="101">
        <f>IF(A1=75,0,H106+H105+H104)</f>
        <v>120470.11</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22</v>
      </c>
      <c r="D113" s="143">
        <v>0</v>
      </c>
      <c r="E113" s="144">
        <f>C113</f>
        <v>22</v>
      </c>
      <c r="F113" s="126" t="s">
        <v>30</v>
      </c>
      <c r="G113" s="303">
        <f>'1461'!G113</f>
        <v>607</v>
      </c>
      <c r="I113" s="101">
        <f>ROUND(G113*E113,2)</f>
        <v>13354</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44">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42">
        <f>IF(D30=0,C121*2,C121+D121)</f>
        <v>0</v>
      </c>
      <c r="F121" s="885">
        <v>0</v>
      </c>
      <c r="G121" s="885"/>
      <c r="H121" s="61">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44">
        <f>IF(D31=0,C122*2,C122+D122)</f>
        <v>0</v>
      </c>
      <c r="F122" s="808">
        <f>ROUND(F121/2,2)</f>
        <v>0</v>
      </c>
      <c r="G122" s="808"/>
      <c r="H122" s="61">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44">
        <f>IF(D32=0,C123*2,C123+D123)</f>
        <v>0</v>
      </c>
      <c r="F123" s="809"/>
      <c r="G123" s="809"/>
      <c r="H123" s="63">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1053040.8599999999</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1007409.9699999999</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1007409.9699999999</v>
      </c>
      <c r="I135" s="94">
        <f>ROUND(IF(E30=0,0,IF(E30&gt;250,-(((250/E30)*H135)*IF(G135="H",0.02,0.05)),IF(G135="H",-0.02*H135,-0.05*H135))),2)</f>
        <v>-50370.5</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1002670.3599999999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Payments'!Q111</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1002670.3599999999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83555.86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272</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108.43</v>
      </c>
      <c r="D16" s="143">
        <v>0</v>
      </c>
      <c r="E16" s="116">
        <f t="shared" si="1"/>
        <v>216.86</v>
      </c>
      <c r="F16" s="833">
        <f>'1461'!F16:G16</f>
        <v>1</v>
      </c>
      <c r="G16" s="833"/>
      <c r="H16" s="80">
        <f t="shared" si="2"/>
        <v>216.86</v>
      </c>
      <c r="I16" s="101">
        <f t="shared" si="3"/>
        <v>1203244.24</v>
      </c>
      <c r="N16" s="834" t="s">
        <v>22</v>
      </c>
      <c r="O16" s="834"/>
      <c r="P16" s="831">
        <f t="shared" si="0"/>
        <v>0</v>
      </c>
      <c r="Q16" s="831"/>
      <c r="R16" s="835">
        <v>1</v>
      </c>
      <c r="S16" s="835"/>
      <c r="T16" s="95">
        <f t="shared" si="4"/>
        <v>0</v>
      </c>
      <c r="U16" s="524">
        <f t="shared" si="5"/>
        <v>0</v>
      </c>
    </row>
    <row r="17" spans="1:21" x14ac:dyDescent="0.25">
      <c r="A17" s="788" t="s">
        <v>23</v>
      </c>
      <c r="B17" s="788"/>
      <c r="C17" s="143">
        <v>17.010000000000002</v>
      </c>
      <c r="D17" s="143">
        <v>0</v>
      </c>
      <c r="E17" s="116">
        <f t="shared" si="1"/>
        <v>34.020000000000003</v>
      </c>
      <c r="F17" s="833">
        <f>'1461'!F17:G17</f>
        <v>1</v>
      </c>
      <c r="G17" s="833"/>
      <c r="H17" s="80">
        <f t="shared" si="2"/>
        <v>34.020000000000003</v>
      </c>
      <c r="I17" s="101">
        <f t="shared" si="3"/>
        <v>188759.43</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13.57</v>
      </c>
      <c r="D27" s="143">
        <v>0</v>
      </c>
      <c r="E27" s="116">
        <f t="shared" si="1"/>
        <v>27.14</v>
      </c>
      <c r="F27" s="833">
        <f>'1461'!F27:G27</f>
        <v>1.1919999999999999</v>
      </c>
      <c r="G27" s="833"/>
      <c r="H27" s="80">
        <f t="shared" si="2"/>
        <v>32.350900000000003</v>
      </c>
      <c r="I27" s="101">
        <f t="shared" si="3"/>
        <v>179498.45</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139.01000000000002</v>
      </c>
      <c r="D30" s="94">
        <f>SUM(D14:D29)</f>
        <v>0</v>
      </c>
      <c r="E30" s="94">
        <f>SUM(E14:E29)</f>
        <v>278.02000000000004</v>
      </c>
      <c r="F30" s="792"/>
      <c r="G30" s="792"/>
      <c r="H30" s="99">
        <f>SUM(H14:H29)</f>
        <v>283.23090000000002</v>
      </c>
      <c r="I30" s="94">
        <f>SUM(I14:I29)</f>
        <v>1571502.1199999999</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42">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44">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44">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44">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44">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36">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283.23090000000002</v>
      </c>
      <c r="F46" s="34"/>
      <c r="G46" s="106"/>
      <c r="H46" s="107" t="s">
        <v>98</v>
      </c>
      <c r="I46" s="94">
        <f>SUM(I44,I30)</f>
        <v>1571502.1199999999</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1914794.03</v>
      </c>
      <c r="G51" s="109" t="s">
        <v>6</v>
      </c>
      <c r="H51" s="453">
        <v>5.5899999999999998E-2</v>
      </c>
      <c r="I51" s="101">
        <f>ROUND(F51*H51,2)</f>
        <v>107036.99</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1914794.03</v>
      </c>
      <c r="G52" s="109" t="s">
        <v>6</v>
      </c>
      <c r="H52" s="453">
        <v>1.0699999999999999E-2</v>
      </c>
      <c r="I52" s="101">
        <f>ROUND(F52*H52,2)</f>
        <v>20488.3</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127525.29000000001</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16.510000000000002</v>
      </c>
      <c r="D60" s="143">
        <v>0</v>
      </c>
      <c r="E60" s="116">
        <f t="shared" si="10"/>
        <v>33.020000000000003</v>
      </c>
      <c r="F60" s="495" t="s">
        <v>13</v>
      </c>
      <c r="G60" s="494">
        <v>251</v>
      </c>
      <c r="H60" s="508">
        <f>'1461'!H60</f>
        <v>1173</v>
      </c>
      <c r="I60" s="101">
        <f t="shared" si="11"/>
        <v>38732.46</v>
      </c>
      <c r="N60" s="849"/>
      <c r="O60" s="849"/>
      <c r="P60" s="851"/>
      <c r="Q60" s="851"/>
      <c r="R60" s="40" t="s">
        <v>13</v>
      </c>
      <c r="S60" s="500">
        <v>251</v>
      </c>
      <c r="T60" s="511">
        <f t="shared" si="12"/>
        <v>1173</v>
      </c>
      <c r="U60" s="525">
        <f t="shared" si="13"/>
        <v>0</v>
      </c>
      <c r="V60" s="475"/>
    </row>
    <row r="61" spans="1:22" x14ac:dyDescent="0.25">
      <c r="A61" s="799"/>
      <c r="B61" s="799"/>
      <c r="C61" s="143">
        <v>0.5</v>
      </c>
      <c r="D61" s="143">
        <v>0</v>
      </c>
      <c r="E61" s="116">
        <f t="shared" si="10"/>
        <v>1</v>
      </c>
      <c r="F61" s="495" t="s">
        <v>13</v>
      </c>
      <c r="G61" s="494">
        <v>252</v>
      </c>
      <c r="H61" s="508">
        <f>'1461'!H61</f>
        <v>3506</v>
      </c>
      <c r="I61" s="101">
        <f t="shared" si="11"/>
        <v>3506</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17.010000000000002</v>
      </c>
      <c r="D66" s="97">
        <f>SUM(D57:D65)</f>
        <v>0</v>
      </c>
      <c r="E66" s="97">
        <f>SUM(E57:E65)</f>
        <v>34.020000000000003</v>
      </c>
      <c r="F66" s="800" t="s">
        <v>507</v>
      </c>
      <c r="G66" s="800"/>
      <c r="H66" s="800"/>
      <c r="I66" s="97">
        <f>SUM(I57:I65)</f>
        <v>42238.46</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278.02000000000004</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1.3179999999999999E-3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283.23090000000002</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1.1919999999999999E-3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278.02000000000004</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1.488E-3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278.02000000000004</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1.32E-3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278.02000000000004</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1.4909999999999999E-3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1.32E-3</v>
      </c>
      <c r="I85" s="101">
        <f>ROUND(F85*H85,2)</f>
        <v>61118.27</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53"/>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1.3179999999999999E-3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1.4909999999999999E-3</v>
      </c>
      <c r="I90" s="101">
        <f>ROUND(F90*H90,2)</f>
        <v>28516.7</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1.488E-3</v>
      </c>
      <c r="I92" s="101">
        <f t="shared" ref="I92:I96" si="14">ROUND(F92*H92,2)</f>
        <v>17128.91</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1.1919999999999999E-3</v>
      </c>
      <c r="I94" s="101">
        <f t="shared" si="14"/>
        <v>304862.12</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1.1919999999999999E-3</v>
      </c>
      <c r="I96" s="101">
        <f t="shared" si="14"/>
        <v>-18409.310000000001</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1.3179999999999999E-3</v>
      </c>
      <c r="I98" s="101">
        <f t="shared" ref="I98" si="16">ROUND(F98*H98,2)</f>
        <v>7409.04</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283.23090000000002</v>
      </c>
      <c r="D105" s="806"/>
      <c r="E105" s="46">
        <f>H8</f>
        <v>1.0407999999999999</v>
      </c>
      <c r="F105" s="302">
        <f>'1461'!F105</f>
        <v>907.92</v>
      </c>
      <c r="G105" s="39" t="s">
        <v>12</v>
      </c>
      <c r="H105" s="101">
        <f>ROUND(C105*E105*F105,2)</f>
        <v>267642.76</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283.23090000000002</v>
      </c>
      <c r="D107" s="796"/>
      <c r="E107" s="123"/>
      <c r="F107" s="123"/>
      <c r="G107" s="123"/>
      <c r="H107" s="124" t="s">
        <v>100</v>
      </c>
      <c r="I107" s="101">
        <f>IF(A1=75,0,H106+H105+H104)</f>
        <v>267642.76</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44">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44">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42">
        <f>IF(D30=0,C121*2,C121+D121)</f>
        <v>0</v>
      </c>
      <c r="F121" s="885">
        <v>0</v>
      </c>
      <c r="G121" s="885"/>
      <c r="H121" s="61">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44">
        <f>IF(D31=0,C122*2,C122+D122)</f>
        <v>0</v>
      </c>
      <c r="F122" s="808">
        <f>ROUND(F121/2,2)</f>
        <v>0</v>
      </c>
      <c r="G122" s="808"/>
      <c r="H122" s="61">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44">
        <f>IF(D32=0,C123*2,C123+D123)</f>
        <v>0</v>
      </c>
      <c r="F123" s="809"/>
      <c r="G123" s="809"/>
      <c r="H123" s="63">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2282009.0699999994</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2154483.7799999993</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585"/>
      <c r="O131" s="585"/>
      <c r="P131" s="585"/>
      <c r="Q131" s="585"/>
      <c r="R131" s="585"/>
      <c r="S131" s="585"/>
      <c r="T131" s="585"/>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2154483.7799999993</v>
      </c>
      <c r="I135" s="94">
        <f>ROUND(IF(E30=0,0,IF(E30&gt;250,-(((250/E30)*H135)*IF(G135="H",0.02,0.05)),IF(G135="H",-0.02*H135,-0.05*H135))),2)</f>
        <v>-96867.3</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2185141.7699999996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Payments'!Q112</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2185141.7699999996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182095.15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10856.89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271</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0"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81.99</v>
      </c>
      <c r="D14" s="141">
        <v>0</v>
      </c>
      <c r="E14" s="187">
        <f>IF(D$30=0,C14*2,C14+D14)</f>
        <v>163.98</v>
      </c>
      <c r="F14" s="829">
        <f>'1461'!F14:G14</f>
        <v>1.1180000000000001</v>
      </c>
      <c r="G14" s="829"/>
      <c r="H14" s="145">
        <f>ROUND(E14*F14,4)</f>
        <v>183.3296</v>
      </c>
      <c r="I14" s="111">
        <f>ROUND(ROUND(ROUND(H14*$C$8,4)*($H$8),2)*(MAX($H$9,1)),2)</f>
        <v>1017201.35</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11</v>
      </c>
      <c r="D15" s="143">
        <v>0</v>
      </c>
      <c r="E15" s="116">
        <f t="shared" ref="E15:E29" si="1">IF(D$30=0,C15*2,C15+D15)</f>
        <v>22</v>
      </c>
      <c r="F15" s="833">
        <f>'1461'!F15:G15</f>
        <v>1.1180000000000001</v>
      </c>
      <c r="G15" s="833"/>
      <c r="H15" s="80">
        <f t="shared" ref="H15:H29" si="2">ROUND(E15*F15,4)</f>
        <v>24.596</v>
      </c>
      <c r="I15" s="101">
        <f t="shared" ref="I15:I29" si="3">ROUND(ROUND(ROUND(H15*$C$8,4)*($H$8),2)*(MAX($H$9,1)),2)</f>
        <v>136470.51</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48.71</v>
      </c>
      <c r="D16" s="143">
        <v>0</v>
      </c>
      <c r="E16" s="116">
        <f t="shared" si="1"/>
        <v>97.42</v>
      </c>
      <c r="F16" s="833">
        <f>'1461'!F16:G16</f>
        <v>1</v>
      </c>
      <c r="G16" s="833"/>
      <c r="H16" s="80">
        <f t="shared" si="2"/>
        <v>97.42</v>
      </c>
      <c r="I16" s="101">
        <f t="shared" si="3"/>
        <v>540533.31000000006</v>
      </c>
      <c r="N16" s="834" t="s">
        <v>22</v>
      </c>
      <c r="O16" s="834"/>
      <c r="P16" s="831">
        <f t="shared" si="0"/>
        <v>0</v>
      </c>
      <c r="Q16" s="831"/>
      <c r="R16" s="835">
        <v>1</v>
      </c>
      <c r="S16" s="835"/>
      <c r="T16" s="95">
        <f t="shared" si="4"/>
        <v>0</v>
      </c>
      <c r="U16" s="524">
        <f t="shared" si="5"/>
        <v>0</v>
      </c>
    </row>
    <row r="17" spans="1:21" x14ac:dyDescent="0.25">
      <c r="A17" s="788" t="s">
        <v>23</v>
      </c>
      <c r="B17" s="788"/>
      <c r="C17" s="143">
        <v>5</v>
      </c>
      <c r="D17" s="143">
        <v>0</v>
      </c>
      <c r="E17" s="116">
        <f t="shared" si="1"/>
        <v>10</v>
      </c>
      <c r="F17" s="833">
        <f>'1461'!F17:G17</f>
        <v>1</v>
      </c>
      <c r="G17" s="833"/>
      <c r="H17" s="80">
        <f t="shared" si="2"/>
        <v>10</v>
      </c>
      <c r="I17" s="101">
        <f t="shared" si="3"/>
        <v>55484.84</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43.75</v>
      </c>
      <c r="D26" s="143">
        <v>0</v>
      </c>
      <c r="E26" s="116">
        <f t="shared" si="1"/>
        <v>87.5</v>
      </c>
      <c r="F26" s="833">
        <f>'1461'!F26:G26</f>
        <v>1.1919999999999999</v>
      </c>
      <c r="G26" s="833"/>
      <c r="H26" s="80">
        <f t="shared" si="2"/>
        <v>104.3</v>
      </c>
      <c r="I26" s="101">
        <f t="shared" si="3"/>
        <v>578706.88</v>
      </c>
      <c r="N26" s="834" t="s">
        <v>85</v>
      </c>
      <c r="O26" s="834"/>
      <c r="P26" s="831">
        <f t="shared" si="0"/>
        <v>0</v>
      </c>
      <c r="Q26" s="831"/>
      <c r="R26" s="835">
        <v>1</v>
      </c>
      <c r="S26" s="835"/>
      <c r="T26" s="95">
        <f t="shared" si="4"/>
        <v>0</v>
      </c>
      <c r="U26" s="524">
        <f t="shared" si="5"/>
        <v>0</v>
      </c>
    </row>
    <row r="27" spans="1:21" x14ac:dyDescent="0.25">
      <c r="A27" s="788" t="s">
        <v>86</v>
      </c>
      <c r="B27" s="788"/>
      <c r="C27" s="143">
        <v>9.02</v>
      </c>
      <c r="D27" s="143">
        <v>0</v>
      </c>
      <c r="E27" s="116">
        <f t="shared" si="1"/>
        <v>18.04</v>
      </c>
      <c r="F27" s="833">
        <f>'1461'!F27:G27</f>
        <v>1.1919999999999999</v>
      </c>
      <c r="G27" s="833"/>
      <c r="H27" s="80">
        <f t="shared" si="2"/>
        <v>21.503699999999998</v>
      </c>
      <c r="I27" s="101">
        <f t="shared" si="3"/>
        <v>119312.94</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199.47</v>
      </c>
      <c r="D30" s="94">
        <f>SUM(D14:D29)</f>
        <v>0</v>
      </c>
      <c r="E30" s="94">
        <f>SUM(E14:E29)</f>
        <v>398.94</v>
      </c>
      <c r="F30" s="792"/>
      <c r="G30" s="792"/>
      <c r="H30" s="99">
        <f>SUM(H14:H29)</f>
        <v>441.14929999999998</v>
      </c>
      <c r="I30" s="94">
        <f>SUM(I14:I29)</f>
        <v>2447709.83</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42">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44">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44">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44">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44">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36">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441.14929999999998</v>
      </c>
      <c r="F46" s="34"/>
      <c r="G46" s="106"/>
      <c r="H46" s="107" t="s">
        <v>98</v>
      </c>
      <c r="I46" s="94">
        <f>SUM(I44,I30)</f>
        <v>2447709.83</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2559801.4</v>
      </c>
      <c r="G51" s="109" t="s">
        <v>6</v>
      </c>
      <c r="H51" s="453">
        <v>5.5899999999999998E-2</v>
      </c>
      <c r="I51" s="101">
        <f>ROUND(F51*H51,2)</f>
        <v>143092.9</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2559801.4</v>
      </c>
      <c r="G52" s="109" t="s">
        <v>6</v>
      </c>
      <c r="H52" s="453">
        <v>1.0699999999999999E-2</v>
      </c>
      <c r="I52" s="101">
        <f>ROUND(F52*H52,2)</f>
        <v>27389.87</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170482.77</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9</v>
      </c>
      <c r="D57" s="143">
        <v>0</v>
      </c>
      <c r="E57" s="116">
        <f t="shared" ref="E57:E65" si="10">IF(D$66=0,C57*2,C57+D57)</f>
        <v>18</v>
      </c>
      <c r="F57" s="494" t="s">
        <v>498</v>
      </c>
      <c r="G57" s="494">
        <v>251</v>
      </c>
      <c r="H57" s="508">
        <f>'1461'!H57</f>
        <v>1047</v>
      </c>
      <c r="I57" s="101">
        <f>ROUND(E57*H57,2)</f>
        <v>18846</v>
      </c>
      <c r="N57" s="848" t="s">
        <v>506</v>
      </c>
      <c r="O57" s="848"/>
      <c r="P57" s="850"/>
      <c r="Q57" s="850"/>
      <c r="R57" s="500" t="s">
        <v>498</v>
      </c>
      <c r="S57" s="500">
        <v>251</v>
      </c>
      <c r="T57" s="511">
        <f>H57</f>
        <v>1047</v>
      </c>
      <c r="U57" s="525">
        <f>ROUND(P57*T57,2)</f>
        <v>0</v>
      </c>
      <c r="V57" s="475"/>
    </row>
    <row r="58" spans="1:22" x14ac:dyDescent="0.25">
      <c r="A58" s="799"/>
      <c r="B58" s="799"/>
      <c r="C58" s="143">
        <v>2</v>
      </c>
      <c r="D58" s="143">
        <v>0</v>
      </c>
      <c r="E58" s="116">
        <f t="shared" si="10"/>
        <v>4</v>
      </c>
      <c r="F58" s="494" t="s">
        <v>498</v>
      </c>
      <c r="G58" s="494">
        <v>252</v>
      </c>
      <c r="H58" s="508">
        <f>'1461'!H58</f>
        <v>3380</v>
      </c>
      <c r="I58" s="101">
        <f t="shared" ref="I58:I65" si="11">ROUND(E58*H58,2)</f>
        <v>13520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4</v>
      </c>
      <c r="D60" s="143">
        <v>0</v>
      </c>
      <c r="E60" s="116">
        <f t="shared" si="10"/>
        <v>8</v>
      </c>
      <c r="F60" s="495" t="s">
        <v>13</v>
      </c>
      <c r="G60" s="494">
        <v>251</v>
      </c>
      <c r="H60" s="508">
        <f>'1461'!H60</f>
        <v>1173</v>
      </c>
      <c r="I60" s="101">
        <f t="shared" si="11"/>
        <v>9384</v>
      </c>
      <c r="N60" s="849"/>
      <c r="O60" s="849"/>
      <c r="P60" s="851"/>
      <c r="Q60" s="851"/>
      <c r="R60" s="40" t="s">
        <v>13</v>
      </c>
      <c r="S60" s="500">
        <v>251</v>
      </c>
      <c r="T60" s="511">
        <f t="shared" si="12"/>
        <v>1173</v>
      </c>
      <c r="U60" s="525">
        <f t="shared" si="13"/>
        <v>0</v>
      </c>
      <c r="V60" s="475"/>
    </row>
    <row r="61" spans="1:22" x14ac:dyDescent="0.25">
      <c r="A61" s="799"/>
      <c r="B61" s="799"/>
      <c r="C61" s="143">
        <v>1</v>
      </c>
      <c r="D61" s="143">
        <v>0</v>
      </c>
      <c r="E61" s="116">
        <f t="shared" si="10"/>
        <v>2</v>
      </c>
      <c r="F61" s="495" t="s">
        <v>13</v>
      </c>
      <c r="G61" s="494">
        <v>252</v>
      </c>
      <c r="H61" s="508">
        <f>'1461'!H61</f>
        <v>3506</v>
      </c>
      <c r="I61" s="101">
        <f t="shared" si="11"/>
        <v>7012</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16</v>
      </c>
      <c r="D66" s="97">
        <f>SUM(D57:D65)</f>
        <v>0</v>
      </c>
      <c r="E66" s="97">
        <f>SUM(E57:E65)</f>
        <v>32</v>
      </c>
      <c r="F66" s="800" t="s">
        <v>507</v>
      </c>
      <c r="G66" s="800"/>
      <c r="H66" s="800"/>
      <c r="I66" s="97">
        <f>SUM(I57:I65)</f>
        <v>48762</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398.94</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1.8910000000000001E-3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441.14929999999998</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1.8569999999999999E-3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398.94</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2.1350000000000002E-3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398.94</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1.8940000000000001E-3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398.94</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2.1389999999999998E-3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1.8940000000000001E-3</v>
      </c>
      <c r="I85" s="101">
        <f>ROUND(F85*H85,2)</f>
        <v>87695.45</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53"/>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1.8910000000000001E-3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2.1389999999999998E-3</v>
      </c>
      <c r="I90" s="101">
        <f>ROUND(F90*H90,2)</f>
        <v>40910.28</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2.1350000000000002E-3</v>
      </c>
      <c r="I92" s="101">
        <f t="shared" ref="I92:I96" si="14">ROUND(F92*H92,2)</f>
        <v>24576.76</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1.8569999999999999E-3</v>
      </c>
      <c r="I94" s="101">
        <f t="shared" si="14"/>
        <v>474940.41</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1.8569999999999999E-3</v>
      </c>
      <c r="I96" s="101">
        <f t="shared" si="14"/>
        <v>-28679.61</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1.8910000000000001E-3</v>
      </c>
      <c r="I98" s="101">
        <f t="shared" ref="I98" si="16">ROUND(F98*H98,2)</f>
        <v>10630.11</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312.22559999999999</v>
      </c>
      <c r="D104" s="806"/>
      <c r="E104" s="46">
        <f>H8</f>
        <v>1.0407999999999999</v>
      </c>
      <c r="F104" s="302">
        <f>'1461'!F104</f>
        <v>950.92</v>
      </c>
      <c r="G104" s="39" t="s">
        <v>12</v>
      </c>
      <c r="H104" s="101">
        <f>ROUND(C104*E104*F104,2)</f>
        <v>309015.15000000002</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128.9237</v>
      </c>
      <c r="D105" s="806"/>
      <c r="E105" s="46">
        <f>H8</f>
        <v>1.0407999999999999</v>
      </c>
      <c r="F105" s="302">
        <f>'1461'!F105</f>
        <v>907.92</v>
      </c>
      <c r="G105" s="39" t="s">
        <v>12</v>
      </c>
      <c r="H105" s="101">
        <f>ROUND(C105*E105*F105,2)</f>
        <v>121828.14</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441.14929999999998</v>
      </c>
      <c r="D107" s="796"/>
      <c r="E107" s="123"/>
      <c r="F107" s="123"/>
      <c r="G107" s="123"/>
      <c r="H107" s="124" t="s">
        <v>100</v>
      </c>
      <c r="I107" s="101">
        <f>IF(A1=75,0,H106+H105+H104)</f>
        <v>430843.29000000004</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44">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44">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42">
        <f>IF(D30=0,C121*2,C121+D121)</f>
        <v>0</v>
      </c>
      <c r="F121" s="885">
        <v>0</v>
      </c>
      <c r="G121" s="885"/>
      <c r="H121" s="61">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44">
        <f>IF(D31=0,C122*2,C122+D122)</f>
        <v>0</v>
      </c>
      <c r="F122" s="808">
        <f>ROUND(F121/2,2)</f>
        <v>0</v>
      </c>
      <c r="G122" s="808"/>
      <c r="H122" s="61">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44">
        <f>IF(D32=0,C123*2,C123+D123)</f>
        <v>0</v>
      </c>
      <c r="F123" s="809"/>
      <c r="G123" s="809"/>
      <c r="H123" s="63">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3537388.52</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3366905.75</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3366905.75</v>
      </c>
      <c r="I135" s="94">
        <f>ROUND(IF(E30=0,0,IF(E30&gt;250,-(((250/E30)*H135)*IF(G135="H",0.02,0.05)),IF(G135="H",-0.02*H135,-0.05*H135))),2)</f>
        <v>-105495.37</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3431893.15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Payments'!Q113</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3431893.15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285991.09999999998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62849.919999999998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9">
    <tabColor rgb="FFFFCCCC"/>
  </sheetPr>
  <dimension ref="A1:V221"/>
  <sheetViews>
    <sheetView topLeftCell="A103"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265</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2"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1.5</v>
      </c>
      <c r="D15" s="143">
        <v>0</v>
      </c>
      <c r="E15" s="116">
        <f t="shared" ref="E15:E29" si="1">IF(D$30=0,C15*2,C15+D15)</f>
        <v>3</v>
      </c>
      <c r="F15" s="833">
        <f>'1461'!F15:G15</f>
        <v>1.1180000000000001</v>
      </c>
      <c r="G15" s="833"/>
      <c r="H15" s="80">
        <f t="shared" ref="H15:H29" si="2">ROUND(E15*F15,4)</f>
        <v>3.3540000000000001</v>
      </c>
      <c r="I15" s="101">
        <f t="shared" ref="I15:I29" si="3">ROUND(ROUND(ROUND(H15*$C$8,4)*($H$8),2)*(MAX($H$9,1)),2)</f>
        <v>18609.62</v>
      </c>
      <c r="J15" s="65" t="str">
        <f>IF(ROUND(E15,2)=ROUND(SUM(E57:E59),2)," ","CHECK PK-3 LINES BELOW")</f>
        <v xml:space="preserve"> </v>
      </c>
      <c r="N15" s="834" t="s">
        <v>21</v>
      </c>
      <c r="O15" s="834"/>
      <c r="P15" s="831">
        <f t="shared" si="0"/>
        <v>3</v>
      </c>
      <c r="Q15" s="831"/>
      <c r="R15" s="835">
        <v>1</v>
      </c>
      <c r="S15" s="835"/>
      <c r="T15" s="95">
        <f t="shared" ref="T15:T29" si="4">ROUND(P15*R15,4)</f>
        <v>3</v>
      </c>
      <c r="U15" s="524">
        <f t="shared" ref="U15:U29" si="5">ROUND(ROUND(ROUND(T15*$C$8,4)*($H$8),2)*(MAX($H$9,1)),2)</f>
        <v>16645.45</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1</v>
      </c>
      <c r="D17" s="143">
        <v>0</v>
      </c>
      <c r="E17" s="116">
        <f t="shared" si="1"/>
        <v>2</v>
      </c>
      <c r="F17" s="833">
        <f>'1461'!F17:G17</f>
        <v>1</v>
      </c>
      <c r="G17" s="833"/>
      <c r="H17" s="80">
        <f t="shared" si="2"/>
        <v>2</v>
      </c>
      <c r="I17" s="101">
        <f t="shared" si="3"/>
        <v>11096.97</v>
      </c>
      <c r="J17" s="65" t="str">
        <f>IF(ROUND(E17,2)=ROUND(SUM(E60:E62),2)," ","CHECK 4-8 LINES BELOW")</f>
        <v xml:space="preserve"> </v>
      </c>
      <c r="N17" s="834" t="s">
        <v>23</v>
      </c>
      <c r="O17" s="834"/>
      <c r="P17" s="831">
        <f t="shared" si="0"/>
        <v>2</v>
      </c>
      <c r="Q17" s="831"/>
      <c r="R17" s="835">
        <v>1</v>
      </c>
      <c r="S17" s="835"/>
      <c r="T17" s="95">
        <f t="shared" si="4"/>
        <v>2</v>
      </c>
      <c r="U17" s="524">
        <f t="shared" si="5"/>
        <v>11096.97</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12</v>
      </c>
      <c r="D20" s="143">
        <v>0</v>
      </c>
      <c r="E20" s="116">
        <f t="shared" si="1"/>
        <v>24</v>
      </c>
      <c r="F20" s="833">
        <f>'1461'!F20:G20</f>
        <v>3.6970000000000001</v>
      </c>
      <c r="G20" s="833"/>
      <c r="H20" s="80">
        <f t="shared" si="2"/>
        <v>88.727999999999994</v>
      </c>
      <c r="I20" s="101">
        <f t="shared" si="3"/>
        <v>492305.89</v>
      </c>
      <c r="N20" s="834" t="s">
        <v>79</v>
      </c>
      <c r="O20" s="834"/>
      <c r="P20" s="831">
        <f t="shared" si="0"/>
        <v>24</v>
      </c>
      <c r="Q20" s="831"/>
      <c r="R20" s="835">
        <v>1</v>
      </c>
      <c r="S20" s="835"/>
      <c r="T20" s="95">
        <f t="shared" si="4"/>
        <v>24</v>
      </c>
      <c r="U20" s="524">
        <f t="shared" si="5"/>
        <v>133163.62</v>
      </c>
    </row>
    <row r="21" spans="1:21" x14ac:dyDescent="0.25">
      <c r="A21" s="788" t="s">
        <v>80</v>
      </c>
      <c r="B21" s="788"/>
      <c r="C21" s="143">
        <v>7</v>
      </c>
      <c r="D21" s="143">
        <v>0</v>
      </c>
      <c r="E21" s="116">
        <f t="shared" si="1"/>
        <v>14</v>
      </c>
      <c r="F21" s="833">
        <f>'1461'!F21:G21</f>
        <v>3.6970000000000001</v>
      </c>
      <c r="G21" s="833"/>
      <c r="H21" s="80">
        <f t="shared" si="2"/>
        <v>51.758000000000003</v>
      </c>
      <c r="I21" s="101">
        <f t="shared" si="3"/>
        <v>287178.43</v>
      </c>
      <c r="N21" s="834" t="s">
        <v>80</v>
      </c>
      <c r="O21" s="834"/>
      <c r="P21" s="831">
        <f t="shared" si="0"/>
        <v>14</v>
      </c>
      <c r="Q21" s="831"/>
      <c r="R21" s="835">
        <v>1</v>
      </c>
      <c r="S21" s="835"/>
      <c r="T21" s="95">
        <f t="shared" si="4"/>
        <v>14</v>
      </c>
      <c r="U21" s="524">
        <f t="shared" si="5"/>
        <v>77678.78</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16.5</v>
      </c>
      <c r="D23" s="143">
        <v>0</v>
      </c>
      <c r="E23" s="116">
        <f t="shared" si="1"/>
        <v>33</v>
      </c>
      <c r="F23" s="833">
        <f>'1461'!F23:G23</f>
        <v>5.992</v>
      </c>
      <c r="G23" s="833"/>
      <c r="H23" s="80">
        <f t="shared" si="2"/>
        <v>197.73599999999999</v>
      </c>
      <c r="I23" s="101">
        <f t="shared" si="3"/>
        <v>1097135.03</v>
      </c>
      <c r="N23" s="834" t="s">
        <v>82</v>
      </c>
      <c r="O23" s="834"/>
      <c r="P23" s="831">
        <f t="shared" si="0"/>
        <v>33</v>
      </c>
      <c r="Q23" s="831"/>
      <c r="R23" s="835">
        <v>1</v>
      </c>
      <c r="S23" s="835"/>
      <c r="T23" s="95">
        <f t="shared" si="4"/>
        <v>33</v>
      </c>
      <c r="U23" s="524">
        <f t="shared" si="5"/>
        <v>183099.97</v>
      </c>
    </row>
    <row r="24" spans="1:21" x14ac:dyDescent="0.25">
      <c r="A24" s="788" t="s">
        <v>83</v>
      </c>
      <c r="B24" s="788"/>
      <c r="C24" s="143">
        <v>12.5</v>
      </c>
      <c r="D24" s="143">
        <v>0</v>
      </c>
      <c r="E24" s="116">
        <f t="shared" si="1"/>
        <v>25</v>
      </c>
      <c r="F24" s="833">
        <f>'1461'!F24:G24</f>
        <v>5.992</v>
      </c>
      <c r="G24" s="833"/>
      <c r="H24" s="80">
        <f t="shared" si="2"/>
        <v>149.80000000000001</v>
      </c>
      <c r="I24" s="101">
        <f t="shared" si="3"/>
        <v>831162.9</v>
      </c>
      <c r="N24" s="834" t="s">
        <v>83</v>
      </c>
      <c r="O24" s="834"/>
      <c r="P24" s="831">
        <f t="shared" si="0"/>
        <v>25</v>
      </c>
      <c r="Q24" s="831"/>
      <c r="R24" s="835">
        <v>1</v>
      </c>
      <c r="S24" s="835"/>
      <c r="T24" s="95">
        <f t="shared" si="4"/>
        <v>25</v>
      </c>
      <c r="U24" s="524">
        <f t="shared" si="5"/>
        <v>138712.1</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50.5</v>
      </c>
      <c r="D30" s="94">
        <f>SUM(D14:D29)</f>
        <v>0</v>
      </c>
      <c r="E30" s="94">
        <f>SUM(E14:E29)</f>
        <v>101</v>
      </c>
      <c r="F30" s="792"/>
      <c r="G30" s="792"/>
      <c r="H30" s="99">
        <f>SUM(H14:H29)</f>
        <v>493.37600000000003</v>
      </c>
      <c r="I30" s="94">
        <f>SUM(I14:I29)</f>
        <v>2737488.84</v>
      </c>
      <c r="N30" s="838" t="s">
        <v>5</v>
      </c>
      <c r="O30" s="838"/>
      <c r="P30" s="839">
        <f>SUM(P14:P29)</f>
        <v>101</v>
      </c>
      <c r="Q30" s="839"/>
      <c r="R30" s="840"/>
      <c r="S30" s="840"/>
      <c r="T30" s="100">
        <f>SUM(T14:T29)</f>
        <v>101</v>
      </c>
      <c r="U30" s="524">
        <f>SUM(U14:U29)</f>
        <v>560396.89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42">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44">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44">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44">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44">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36">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493.37600000000003</v>
      </c>
      <c r="F46" s="34"/>
      <c r="G46" s="106"/>
      <c r="H46" s="107" t="s">
        <v>98</v>
      </c>
      <c r="I46" s="94">
        <f>SUM(I44,I30)</f>
        <v>2737488.84</v>
      </c>
      <c r="N46" s="846" t="s">
        <v>44</v>
      </c>
      <c r="O46" s="846"/>
      <c r="P46" s="846"/>
      <c r="Q46" s="846"/>
      <c r="R46" s="35">
        <f>R44+T30</f>
        <v>101</v>
      </c>
      <c r="S46" s="840" t="s">
        <v>42</v>
      </c>
      <c r="T46" s="840"/>
      <c r="U46" s="108">
        <f>SUM(U44,U30)</f>
        <v>560396.89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2329819.5099999998</v>
      </c>
      <c r="G51" s="109" t="s">
        <v>6</v>
      </c>
      <c r="H51" s="453">
        <v>5.5899999999999998E-2</v>
      </c>
      <c r="I51" s="101">
        <f>ROUND(F51*H51,2)</f>
        <v>130236.91</v>
      </c>
      <c r="N51" s="458"/>
      <c r="O51" s="459" t="s">
        <v>576</v>
      </c>
      <c r="P51" s="28"/>
      <c r="Q51" s="44" t="s">
        <v>461</v>
      </c>
      <c r="R51" s="460">
        <f>U30</f>
        <v>560396.89</v>
      </c>
      <c r="S51" s="461" t="s">
        <v>6</v>
      </c>
      <c r="T51" s="462">
        <v>5.5899999999999998E-2</v>
      </c>
      <c r="U51" s="454">
        <f>ROUND(R51*T51,2)</f>
        <v>31326.19</v>
      </c>
    </row>
    <row r="52" spans="1:22" x14ac:dyDescent="0.25">
      <c r="A52" s="26"/>
      <c r="B52" s="618" t="s">
        <v>580</v>
      </c>
      <c r="C52" s="26"/>
      <c r="D52" s="26"/>
      <c r="E52" s="43" t="s">
        <v>461</v>
      </c>
      <c r="F52" s="452">
        <v>2329819.5099999998</v>
      </c>
      <c r="G52" s="109" t="s">
        <v>6</v>
      </c>
      <c r="H52" s="453">
        <v>1.0699999999999999E-2</v>
      </c>
      <c r="I52" s="101">
        <f>ROUND(F52*H52,2)</f>
        <v>24929.07</v>
      </c>
      <c r="N52" s="28"/>
      <c r="O52" s="619" t="s">
        <v>579</v>
      </c>
      <c r="P52" s="28"/>
      <c r="Q52" s="44" t="s">
        <v>461</v>
      </c>
      <c r="R52" s="460">
        <f>U30</f>
        <v>560396.89</v>
      </c>
      <c r="S52" s="461" t="s">
        <v>6</v>
      </c>
      <c r="T52" s="462">
        <v>1.0699999999999999E-2</v>
      </c>
      <c r="U52" s="463">
        <f>ROUND(R52*T52,2)</f>
        <v>5996.25</v>
      </c>
    </row>
    <row r="53" spans="1:22" x14ac:dyDescent="0.25">
      <c r="A53" s="26"/>
      <c r="B53" s="81" t="s">
        <v>462</v>
      </c>
      <c r="C53" s="26"/>
      <c r="D53" s="26"/>
      <c r="E53" s="43"/>
      <c r="F53" s="452"/>
      <c r="G53" s="109"/>
      <c r="H53" s="453"/>
      <c r="I53" s="97">
        <f>SUM(I51:I52)</f>
        <v>155165.98000000001</v>
      </c>
      <c r="N53" s="28"/>
      <c r="O53" s="435" t="s">
        <v>462</v>
      </c>
      <c r="P53" s="28"/>
      <c r="Q53" s="44"/>
      <c r="R53" s="460"/>
      <c r="S53" s="461"/>
      <c r="T53" s="462"/>
      <c r="U53" s="454">
        <f>SUM(U51:U52)</f>
        <v>37322.44</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1.5</v>
      </c>
      <c r="D59" s="143">
        <v>0</v>
      </c>
      <c r="E59" s="116">
        <f t="shared" si="10"/>
        <v>3</v>
      </c>
      <c r="F59" s="494" t="s">
        <v>498</v>
      </c>
      <c r="G59" s="494">
        <v>253</v>
      </c>
      <c r="H59" s="508">
        <f>'1461'!H59</f>
        <v>6896</v>
      </c>
      <c r="I59" s="101">
        <f t="shared" si="11"/>
        <v>20688</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1</v>
      </c>
      <c r="D62" s="143">
        <v>0</v>
      </c>
      <c r="E62" s="116">
        <f t="shared" si="10"/>
        <v>2</v>
      </c>
      <c r="F62" s="495" t="s">
        <v>13</v>
      </c>
      <c r="G62" s="494">
        <v>253</v>
      </c>
      <c r="H62" s="508">
        <f>'1461'!H62</f>
        <v>7023</v>
      </c>
      <c r="I62" s="101">
        <f t="shared" si="11"/>
        <v>14046</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2.5</v>
      </c>
      <c r="D66" s="97">
        <f>SUM(D57:D65)</f>
        <v>0</v>
      </c>
      <c r="E66" s="97">
        <f>SUM(E57:E65)</f>
        <v>5</v>
      </c>
      <c r="F66" s="800" t="s">
        <v>507</v>
      </c>
      <c r="G66" s="800"/>
      <c r="H66" s="800"/>
      <c r="I66" s="97">
        <f>SUM(I57:I65)</f>
        <v>34734</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101</v>
      </c>
      <c r="D69" s="775" t="s">
        <v>474</v>
      </c>
      <c r="E69" s="775"/>
      <c r="F69" s="775"/>
      <c r="G69" s="775"/>
      <c r="H69" s="299">
        <f>'1461'!H69</f>
        <v>210935.24</v>
      </c>
      <c r="I69" s="113"/>
      <c r="N69" s="853" t="s">
        <v>467</v>
      </c>
      <c r="O69" s="834"/>
      <c r="P69" s="41">
        <f>P30</f>
        <v>101</v>
      </c>
      <c r="Q69" s="854" t="s">
        <v>469</v>
      </c>
      <c r="R69" s="855"/>
      <c r="S69" s="855"/>
      <c r="T69" s="856">
        <f>H69</f>
        <v>210935.24</v>
      </c>
      <c r="U69" s="856"/>
    </row>
    <row r="70" spans="1:22" x14ac:dyDescent="0.25">
      <c r="B70" s="69"/>
      <c r="G70" s="42" t="s">
        <v>12</v>
      </c>
      <c r="H70" s="114">
        <f>ROUND(C69/H69,6)</f>
        <v>4.7899999999999999E-4</v>
      </c>
      <c r="I70" s="115"/>
      <c r="N70" s="834"/>
      <c r="O70" s="834"/>
      <c r="P70" s="834"/>
      <c r="Q70" s="834"/>
      <c r="R70" s="834"/>
      <c r="S70" s="834"/>
      <c r="T70" s="852">
        <f>ROUND(P69/T69,6)</f>
        <v>4.7899999999999999E-4</v>
      </c>
      <c r="U70" s="852"/>
    </row>
    <row r="71" spans="1:22" x14ac:dyDescent="0.25">
      <c r="A71" s="493" t="s">
        <v>510</v>
      </c>
      <c r="N71" s="504" t="s">
        <v>518</v>
      </c>
      <c r="O71" s="51"/>
      <c r="P71" s="51"/>
      <c r="Q71" s="51"/>
      <c r="R71" s="51"/>
      <c r="S71" s="51"/>
      <c r="T71" s="51"/>
      <c r="U71" s="51"/>
    </row>
    <row r="72" spans="1:22" x14ac:dyDescent="0.25">
      <c r="A72" s="794" t="s">
        <v>464</v>
      </c>
      <c r="B72" s="788"/>
      <c r="C72" s="112">
        <f>H30</f>
        <v>493.37600000000003</v>
      </c>
      <c r="D72" s="775" t="s">
        <v>475</v>
      </c>
      <c r="E72" s="775"/>
      <c r="F72" s="775"/>
      <c r="G72" s="775"/>
      <c r="H72" s="300">
        <f>'1461'!H72</f>
        <v>237601.62</v>
      </c>
      <c r="I72" s="116"/>
      <c r="N72" s="853" t="s">
        <v>468</v>
      </c>
      <c r="O72" s="834"/>
      <c r="P72" s="41">
        <f>T30</f>
        <v>101</v>
      </c>
      <c r="Q72" s="854" t="s">
        <v>470</v>
      </c>
      <c r="R72" s="855"/>
      <c r="S72" s="855"/>
      <c r="T72" s="856">
        <f>H72</f>
        <v>237601.62</v>
      </c>
      <c r="U72" s="856"/>
    </row>
    <row r="73" spans="1:22" x14ac:dyDescent="0.25">
      <c r="G73" s="42" t="s">
        <v>12</v>
      </c>
      <c r="H73" s="114">
        <f>ROUND(C72/H72,6)</f>
        <v>2.0760000000000002E-3</v>
      </c>
      <c r="I73" s="114"/>
      <c r="N73" s="834"/>
      <c r="O73" s="834"/>
      <c r="P73" s="834"/>
      <c r="Q73" s="834"/>
      <c r="R73" s="834"/>
      <c r="S73" s="834"/>
      <c r="T73" s="852">
        <f>ROUND(P72/T72,6)</f>
        <v>4.2499999999999998E-4</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101</v>
      </c>
      <c r="D75" s="767" t="s">
        <v>476</v>
      </c>
      <c r="E75" s="767"/>
      <c r="F75" s="767"/>
      <c r="G75" s="767"/>
      <c r="H75" s="299">
        <f>'1461'!H75</f>
        <v>186826.74</v>
      </c>
      <c r="I75" s="113"/>
      <c r="N75" s="853" t="s">
        <v>466</v>
      </c>
      <c r="O75" s="834"/>
      <c r="P75" s="41">
        <f>P30</f>
        <v>101</v>
      </c>
      <c r="Q75" s="861" t="s">
        <v>471</v>
      </c>
      <c r="R75" s="862"/>
      <c r="S75" s="862"/>
      <c r="T75" s="856">
        <f>H75</f>
        <v>186826.74</v>
      </c>
      <c r="U75" s="856"/>
    </row>
    <row r="76" spans="1:22" x14ac:dyDescent="0.25">
      <c r="B76" s="69"/>
      <c r="G76" s="42" t="s">
        <v>12</v>
      </c>
      <c r="H76" s="114">
        <f>ROUND(C75/H75,6)</f>
        <v>5.4100000000000003E-4</v>
      </c>
      <c r="I76" s="115"/>
      <c r="N76" s="834"/>
      <c r="O76" s="834"/>
      <c r="P76" s="834"/>
      <c r="Q76" s="834"/>
      <c r="R76" s="834"/>
      <c r="S76" s="834"/>
      <c r="T76" s="852">
        <f>ROUND(P75/T75,6)</f>
        <v>5.4100000000000003E-4</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101</v>
      </c>
      <c r="D78" s="795" t="s">
        <v>477</v>
      </c>
      <c r="E78" s="795"/>
      <c r="F78" s="795"/>
      <c r="G78" s="795"/>
      <c r="H78" s="299">
        <f>'1461'!H78</f>
        <v>210630.63</v>
      </c>
      <c r="I78" s="113"/>
      <c r="N78" s="853" t="s">
        <v>466</v>
      </c>
      <c r="O78" s="834"/>
      <c r="P78" s="41">
        <f>P30</f>
        <v>101</v>
      </c>
      <c r="Q78" s="859" t="s">
        <v>472</v>
      </c>
      <c r="R78" s="860"/>
      <c r="S78" s="860"/>
      <c r="T78" s="856">
        <f>H78</f>
        <v>210630.63</v>
      </c>
      <c r="U78" s="856"/>
    </row>
    <row r="79" spans="1:22" x14ac:dyDescent="0.25">
      <c r="B79" s="69"/>
      <c r="G79" s="42" t="s">
        <v>12</v>
      </c>
      <c r="H79" s="114">
        <f>ROUND(C78/H78,6)</f>
        <v>4.8000000000000001E-4</v>
      </c>
      <c r="I79" s="115"/>
      <c r="N79" s="834"/>
      <c r="O79" s="834"/>
      <c r="P79" s="834"/>
      <c r="Q79" s="834"/>
      <c r="R79" s="834"/>
      <c r="S79" s="834"/>
      <c r="T79" s="852">
        <f>ROUND(P78/T78,6)</f>
        <v>4.8000000000000001E-4</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101</v>
      </c>
      <c r="D81" s="767" t="s">
        <v>478</v>
      </c>
      <c r="E81" s="767"/>
      <c r="F81" s="767"/>
      <c r="G81" s="767"/>
      <c r="H81" s="299">
        <f>'1461'!H81</f>
        <v>186522.13</v>
      </c>
      <c r="I81" s="113"/>
      <c r="N81" s="853" t="s">
        <v>479</v>
      </c>
      <c r="O81" s="834"/>
      <c r="P81" s="41">
        <f>P30</f>
        <v>101</v>
      </c>
      <c r="Q81" s="861" t="s">
        <v>480</v>
      </c>
      <c r="R81" s="862"/>
      <c r="S81" s="862"/>
      <c r="T81" s="856">
        <f>H81</f>
        <v>186522.13</v>
      </c>
      <c r="U81" s="856"/>
    </row>
    <row r="82" spans="1:21" x14ac:dyDescent="0.25">
      <c r="B82" s="69"/>
      <c r="G82" s="42" t="s">
        <v>12</v>
      </c>
      <c r="H82" s="114">
        <f>ROUND(C81/H81,6)</f>
        <v>5.4100000000000003E-4</v>
      </c>
      <c r="I82" s="115"/>
      <c r="N82" s="834"/>
      <c r="O82" s="834"/>
      <c r="P82" s="834"/>
      <c r="Q82" s="834"/>
      <c r="R82" s="834"/>
      <c r="S82" s="834"/>
      <c r="T82" s="852">
        <f>ROUND(P81/T81,6)</f>
        <v>5.4100000000000003E-4</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4.8000000000000001E-4</v>
      </c>
      <c r="I85" s="101">
        <f>ROUND(F85*H85,2)</f>
        <v>22224.82</v>
      </c>
      <c r="N85" s="504" t="s">
        <v>514</v>
      </c>
      <c r="O85" s="51"/>
      <c r="P85" s="51"/>
      <c r="Q85" s="44"/>
      <c r="R85" s="470">
        <f>F85</f>
        <v>46301717</v>
      </c>
      <c r="S85" s="38" t="s">
        <v>6</v>
      </c>
      <c r="T85" s="472">
        <f>T79</f>
        <v>4.8000000000000001E-4</v>
      </c>
      <c r="U85" s="524">
        <f>ROUND(R85*T85,2)</f>
        <v>22224.82</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53"/>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4.7899999999999999E-4</v>
      </c>
      <c r="I88" s="101">
        <f>ROUND(F88*H88,2)</f>
        <v>0</v>
      </c>
      <c r="N88" s="863" t="s">
        <v>99</v>
      </c>
      <c r="O88" s="834"/>
      <c r="P88" s="834"/>
      <c r="Q88" s="44"/>
      <c r="R88" s="470">
        <f>F88</f>
        <v>0</v>
      </c>
      <c r="S88" s="38" t="s">
        <v>6</v>
      </c>
      <c r="T88" s="472">
        <f>T70</f>
        <v>4.7899999999999999E-4</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5.4100000000000003E-4</v>
      </c>
      <c r="I90" s="101">
        <f>ROUND(F90*H90,2)</f>
        <v>10347.11</v>
      </c>
      <c r="N90" s="504" t="s">
        <v>515</v>
      </c>
      <c r="O90" s="51"/>
      <c r="P90" s="51"/>
      <c r="Q90" s="44"/>
      <c r="R90" s="470">
        <f>F90</f>
        <v>19125890</v>
      </c>
      <c r="S90" s="38" t="s">
        <v>6</v>
      </c>
      <c r="T90" s="472">
        <f>T82</f>
        <v>5.4100000000000003E-4</v>
      </c>
      <c r="U90" s="524">
        <f>ROUND(R90*T90,2)</f>
        <v>10347.11</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5.4100000000000003E-4</v>
      </c>
      <c r="I92" s="101">
        <f t="shared" ref="I92:I96" si="14">ROUND(F92*H92,2)</f>
        <v>6227.65</v>
      </c>
      <c r="N92" s="504" t="s">
        <v>516</v>
      </c>
      <c r="O92" s="51"/>
      <c r="P92" s="51"/>
      <c r="Q92" s="44"/>
      <c r="R92" s="470">
        <f t="shared" ref="R92:R96" si="15">F92</f>
        <v>11511363</v>
      </c>
      <c r="S92" s="38" t="s">
        <v>6</v>
      </c>
      <c r="T92" s="472">
        <f>T76</f>
        <v>5.4100000000000003E-4</v>
      </c>
      <c r="U92" s="524">
        <f>ROUND(R92*T92,2)</f>
        <v>6227.65</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2.0760000000000002E-3</v>
      </c>
      <c r="I94" s="101">
        <f t="shared" si="14"/>
        <v>530951.15</v>
      </c>
      <c r="N94" s="834" t="s">
        <v>482</v>
      </c>
      <c r="O94" s="834"/>
      <c r="P94" s="834"/>
      <c r="Q94" s="44"/>
      <c r="R94" s="470">
        <f t="shared" si="15"/>
        <v>255756816</v>
      </c>
      <c r="S94" s="38" t="s">
        <v>6</v>
      </c>
      <c r="T94" s="472">
        <f>T73</f>
        <v>4.2499999999999998E-4</v>
      </c>
      <c r="U94" s="524">
        <f>ROUND(R94*T94,2)</f>
        <v>108696.65</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2.0760000000000002E-3</v>
      </c>
      <c r="I96" s="101">
        <f t="shared" si="14"/>
        <v>-32061.86</v>
      </c>
      <c r="N96" s="853" t="s">
        <v>483</v>
      </c>
      <c r="O96" s="834"/>
      <c r="P96" s="834"/>
      <c r="Q96" s="44"/>
      <c r="R96" s="470">
        <f t="shared" si="15"/>
        <v>-15444055</v>
      </c>
      <c r="S96" s="38" t="s">
        <v>6</v>
      </c>
      <c r="T96" s="472">
        <f>T73</f>
        <v>4.2499999999999998E-4</v>
      </c>
      <c r="U96" s="524">
        <f>ROUND(R96*T96,2)</f>
        <v>-6563.72</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4.7899999999999999E-4</v>
      </c>
      <c r="I98" s="101">
        <f t="shared" ref="I98" si="16">ROUND(F98*H98,2)</f>
        <v>2692.66</v>
      </c>
      <c r="N98" s="587" t="s">
        <v>556</v>
      </c>
      <c r="O98" s="587"/>
      <c r="P98" s="587"/>
      <c r="Q98" s="44"/>
      <c r="R98" s="590">
        <f>F98</f>
        <v>5621424</v>
      </c>
      <c r="S98" s="588" t="s">
        <v>6</v>
      </c>
      <c r="T98" s="472">
        <f>T70</f>
        <v>4.7899999999999999E-4</v>
      </c>
      <c r="U98" s="524">
        <f>ROUND(R98*T98,2)</f>
        <v>2692.66</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289.81799999999998</v>
      </c>
      <c r="D104" s="806"/>
      <c r="E104" s="46">
        <f>H8</f>
        <v>1.0407999999999999</v>
      </c>
      <c r="F104" s="302">
        <f>'1461'!F104</f>
        <v>950.92</v>
      </c>
      <c r="G104" s="39" t="s">
        <v>12</v>
      </c>
      <c r="H104" s="101">
        <f>ROUND(C104*E104*F104,2)</f>
        <v>286837.96000000002</v>
      </c>
      <c r="I104" s="104"/>
      <c r="N104" s="28" t="s">
        <v>17</v>
      </c>
      <c r="O104" s="47">
        <f>T14+T15+T20+T23+T26</f>
        <v>60</v>
      </c>
      <c r="P104" s="864">
        <f>T8</f>
        <v>1.0407999999999999</v>
      </c>
      <c r="Q104" s="864"/>
      <c r="R104" s="48">
        <f>F104</f>
        <v>950.92</v>
      </c>
      <c r="S104" s="40" t="s">
        <v>12</v>
      </c>
      <c r="T104" s="530">
        <f>ROUND(O104*P104*R104,2)</f>
        <v>59383.05</v>
      </c>
      <c r="U104" s="102"/>
    </row>
    <row r="105" spans="1:21" x14ac:dyDescent="0.25">
      <c r="A105" s="49"/>
      <c r="B105" s="49" t="s">
        <v>104</v>
      </c>
      <c r="C105" s="806">
        <f>H16+H17+H21+H24+H27</f>
        <v>203.55800000000002</v>
      </c>
      <c r="D105" s="806"/>
      <c r="E105" s="46">
        <f>H8</f>
        <v>1.0407999999999999</v>
      </c>
      <c r="F105" s="302">
        <f>'1461'!F105</f>
        <v>907.92</v>
      </c>
      <c r="G105" s="39" t="s">
        <v>12</v>
      </c>
      <c r="H105" s="101">
        <f>ROUND(C105*E105*F105,2)</f>
        <v>192354.81</v>
      </c>
      <c r="N105" s="50" t="s">
        <v>13</v>
      </c>
      <c r="O105" s="47">
        <f>T16+T17+T21+T24+T27</f>
        <v>41</v>
      </c>
      <c r="P105" s="864">
        <f>T8</f>
        <v>1.0407999999999999</v>
      </c>
      <c r="Q105" s="864"/>
      <c r="R105" s="48">
        <f>F105</f>
        <v>907.92</v>
      </c>
      <c r="S105" s="40" t="s">
        <v>12</v>
      </c>
      <c r="T105" s="530">
        <f>ROUND(O105*P105*R105,2)</f>
        <v>38743.49</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493.37599999999998</v>
      </c>
      <c r="D107" s="796"/>
      <c r="E107" s="123"/>
      <c r="F107" s="123"/>
      <c r="G107" s="123"/>
      <c r="H107" s="124" t="s">
        <v>100</v>
      </c>
      <c r="I107" s="101">
        <f>IF(A1=75,0,H106+H105+H104)</f>
        <v>479192.77</v>
      </c>
      <c r="N107" s="56" t="s">
        <v>89</v>
      </c>
      <c r="O107" s="57">
        <f>SUM(O104:O106)</f>
        <v>101</v>
      </c>
      <c r="P107" s="870" t="s">
        <v>16</v>
      </c>
      <c r="Q107" s="871"/>
      <c r="R107" s="871"/>
      <c r="S107" s="871"/>
      <c r="T107" s="871"/>
      <c r="U107" s="524">
        <f>IF(N1=75,0,T106+T105+T104)</f>
        <v>98126.540000000008</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44">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44">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42">
        <f>IF(D30=0,C121*2,C121+D121)</f>
        <v>0</v>
      </c>
      <c r="F121" s="885">
        <v>0</v>
      </c>
      <c r="G121" s="885"/>
      <c r="H121" s="61">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44">
        <f>IF(D31=0,C122*2,C122+D122)</f>
        <v>0</v>
      </c>
      <c r="F122" s="808">
        <f>ROUND(F121/2,2)</f>
        <v>0</v>
      </c>
      <c r="G122" s="808"/>
      <c r="H122" s="61">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44">
        <f>IF(D32=0,C123*2,C123+D123)</f>
        <v>0</v>
      </c>
      <c r="F123" s="809"/>
      <c r="G123" s="809"/>
      <c r="H123" s="63">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3791797.1399999997</v>
      </c>
      <c r="N128" s="504"/>
      <c r="O128" s="503"/>
      <c r="P128" s="503"/>
      <c r="Q128" s="305"/>
      <c r="R128" s="305"/>
      <c r="S128" s="305"/>
      <c r="T128" s="305"/>
      <c r="U128" s="531">
        <f>SUM(U30,U85,U88,U90,U92,U94,U96,U107,U113,U114,U124,U126)</f>
        <v>799455.94000000006</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3636631.1599999997</v>
      </c>
      <c r="N130" s="834" t="s">
        <v>494</v>
      </c>
      <c r="O130" s="834"/>
      <c r="P130" s="834"/>
      <c r="Q130" s="834"/>
      <c r="R130" s="834"/>
      <c r="S130" s="834"/>
      <c r="T130" s="834"/>
      <c r="U130" s="132">
        <f>U128-U53</f>
        <v>762133.5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f>IF(E30=0,"",IF((E15+E17+SUM(E19:E25))/E30&gt;0.75,1,""))</f>
        <v>1</v>
      </c>
      <c r="I133" s="116">
        <f>U130</f>
        <v>762133.5</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762133.5</v>
      </c>
      <c r="I135" s="94">
        <f>ROUND(IF(E30=0,0,IF(E30&gt;250,-(((250/E30)*H135)*IF(G135="H",0.02,0.05)),IF(G135="H",-0.02*H135,-0.05*H135))),2)</f>
        <v>-38106.68</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3753690.4599999995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Payments'!Q114</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3753690.4599999995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312807.53999999998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tabColor rgb="FFFFCCCC"/>
  </sheetPr>
  <dimension ref="A1:V221"/>
  <sheetViews>
    <sheetView workbookViewId="0">
      <selection activeCell="I140" sqref="I14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5703125"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283</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t="s">
        <v>625</v>
      </c>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349"/>
      <c r="D11" s="349"/>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2"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37</v>
      </c>
      <c r="D14" s="141">
        <v>0</v>
      </c>
      <c r="E14" s="187">
        <f>IF(D$30=0,C14*2,C14+D14)</f>
        <v>74</v>
      </c>
      <c r="F14" s="829">
        <f>'1461'!F14:G14</f>
        <v>1.1180000000000001</v>
      </c>
      <c r="G14" s="829"/>
      <c r="H14" s="145">
        <f>ROUND(E14*F14,4)</f>
        <v>82.731999999999999</v>
      </c>
      <c r="I14" s="111">
        <f>ROUND(ROUND(ROUND(H14*$C$8,4)*($H$8),2)*(MAX($H$9,1)),2)</f>
        <v>459037.18</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35</v>
      </c>
      <c r="D16" s="143">
        <v>0</v>
      </c>
      <c r="E16" s="116">
        <f t="shared" si="1"/>
        <v>70</v>
      </c>
      <c r="F16" s="833">
        <f>'1461'!F16:G16</f>
        <v>1</v>
      </c>
      <c r="G16" s="833"/>
      <c r="H16" s="80">
        <f t="shared" si="2"/>
        <v>70</v>
      </c>
      <c r="I16" s="101">
        <f t="shared" si="3"/>
        <v>388393.88</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0</v>
      </c>
      <c r="D18" s="143">
        <v>0</v>
      </c>
      <c r="E18" s="116">
        <f t="shared" si="1"/>
        <v>0</v>
      </c>
      <c r="F18" s="833">
        <f>'1461'!F18:G18</f>
        <v>0.97799999999999998</v>
      </c>
      <c r="G18" s="833"/>
      <c r="H18" s="80">
        <f t="shared" si="2"/>
        <v>0</v>
      </c>
      <c r="I18" s="101">
        <f t="shared" si="3"/>
        <v>0</v>
      </c>
      <c r="N18" s="834" t="s">
        <v>24</v>
      </c>
      <c r="O18" s="834"/>
      <c r="P18" s="831">
        <f t="shared" si="0"/>
        <v>0</v>
      </c>
      <c r="Q18" s="831"/>
      <c r="R18" s="835">
        <v>1</v>
      </c>
      <c r="S18" s="835"/>
      <c r="T18" s="95">
        <f t="shared" si="4"/>
        <v>0</v>
      </c>
      <c r="U18" s="524">
        <f t="shared" si="5"/>
        <v>0</v>
      </c>
    </row>
    <row r="19" spans="1:21" x14ac:dyDescent="0.25">
      <c r="A19" s="788" t="s">
        <v>25</v>
      </c>
      <c r="B19" s="788"/>
      <c r="C19" s="143">
        <v>0</v>
      </c>
      <c r="D19" s="143">
        <v>0</v>
      </c>
      <c r="E19" s="116">
        <f t="shared" si="1"/>
        <v>0</v>
      </c>
      <c r="F19" s="833">
        <f>'1461'!F19:G19</f>
        <v>0.97799999999999998</v>
      </c>
      <c r="G19" s="833"/>
      <c r="H19" s="80">
        <f t="shared" si="2"/>
        <v>0</v>
      </c>
      <c r="I19" s="101">
        <f t="shared" si="3"/>
        <v>0</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0</v>
      </c>
      <c r="D28" s="143">
        <v>0</v>
      </c>
      <c r="E28" s="116">
        <f t="shared" si="1"/>
        <v>0</v>
      </c>
      <c r="F28" s="833">
        <f>'1461'!F28:G28</f>
        <v>1.1919999999999999</v>
      </c>
      <c r="G28" s="833"/>
      <c r="H28" s="80">
        <f t="shared" si="2"/>
        <v>0</v>
      </c>
      <c r="I28" s="101">
        <f t="shared" si="3"/>
        <v>0</v>
      </c>
      <c r="N28" s="834" t="s">
        <v>87</v>
      </c>
      <c r="O28" s="834"/>
      <c r="P28" s="831">
        <f t="shared" si="0"/>
        <v>0</v>
      </c>
      <c r="Q28" s="831"/>
      <c r="R28" s="835">
        <v>1</v>
      </c>
      <c r="S28" s="835"/>
      <c r="T28" s="95">
        <f t="shared" si="4"/>
        <v>0</v>
      </c>
      <c r="U28" s="524">
        <f t="shared" si="5"/>
        <v>0</v>
      </c>
    </row>
    <row r="29" spans="1:21" x14ac:dyDescent="0.25">
      <c r="A29" s="788" t="s">
        <v>88</v>
      </c>
      <c r="B29" s="788"/>
      <c r="C29" s="110">
        <v>0</v>
      </c>
      <c r="D29" s="110">
        <v>0</v>
      </c>
      <c r="E29" s="154">
        <f t="shared" si="1"/>
        <v>0</v>
      </c>
      <c r="F29" s="833">
        <f>'1461'!F29:G29</f>
        <v>1.079</v>
      </c>
      <c r="G29" s="833"/>
      <c r="H29" s="93">
        <f t="shared" si="2"/>
        <v>0</v>
      </c>
      <c r="I29" s="94">
        <f t="shared" si="3"/>
        <v>0</v>
      </c>
      <c r="N29" s="836" t="s">
        <v>88</v>
      </c>
      <c r="O29" s="836"/>
      <c r="P29" s="831">
        <f t="shared" si="0"/>
        <v>0</v>
      </c>
      <c r="Q29" s="831"/>
      <c r="R29" s="837">
        <v>1</v>
      </c>
      <c r="S29" s="837"/>
      <c r="T29" s="95">
        <f t="shared" si="4"/>
        <v>0</v>
      </c>
      <c r="U29" s="524">
        <f t="shared" si="5"/>
        <v>0</v>
      </c>
    </row>
    <row r="30" spans="1:21" x14ac:dyDescent="0.25">
      <c r="A30" s="800" t="s">
        <v>5</v>
      </c>
      <c r="B30" s="800"/>
      <c r="C30" s="94">
        <f>SUM(C14:C29)</f>
        <v>72</v>
      </c>
      <c r="D30" s="94">
        <f>SUM(D14:D29)</f>
        <v>0</v>
      </c>
      <c r="E30" s="94">
        <f>SUM(E14:E29)</f>
        <v>144</v>
      </c>
      <c r="F30" s="792"/>
      <c r="G30" s="792"/>
      <c r="H30" s="99">
        <f>SUM(H14:H29)</f>
        <v>152.732</v>
      </c>
      <c r="I30" s="94">
        <f>SUM(I14:I29)</f>
        <v>847431.06</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42">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44">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44">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44">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44">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36">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152.732</v>
      </c>
      <c r="F46" s="34"/>
      <c r="G46" s="106"/>
      <c r="H46" s="107" t="s">
        <v>98</v>
      </c>
      <c r="I46" s="94">
        <f>SUM(I44,I30)</f>
        <v>847431.06</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723460.72000000009</v>
      </c>
      <c r="G51" s="109" t="s">
        <v>6</v>
      </c>
      <c r="H51" s="453">
        <v>5.5899999999999998E-2</v>
      </c>
      <c r="I51" s="101">
        <v>0</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723460.72000000009</v>
      </c>
      <c r="G52" s="109" t="s">
        <v>6</v>
      </c>
      <c r="H52" s="453">
        <v>1.0699999999999999E-2</v>
      </c>
      <c r="I52" s="101">
        <v>0</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0</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0</v>
      </c>
      <c r="D63" s="143">
        <v>0</v>
      </c>
      <c r="E63" s="116">
        <f t="shared" si="10"/>
        <v>0</v>
      </c>
      <c r="F63" s="495" t="s">
        <v>14</v>
      </c>
      <c r="G63" s="494">
        <v>251</v>
      </c>
      <c r="H63" s="508">
        <f>'1461'!H63</f>
        <v>835</v>
      </c>
      <c r="I63" s="101">
        <f t="shared" si="11"/>
        <v>0</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0</v>
      </c>
      <c r="D66" s="97">
        <f>SUM(D57:D65)</f>
        <v>0</v>
      </c>
      <c r="E66" s="97">
        <f>SUM(E57:E65)</f>
        <v>0</v>
      </c>
      <c r="F66" s="800" t="s">
        <v>507</v>
      </c>
      <c r="G66" s="800"/>
      <c r="H66" s="800"/>
      <c r="I66" s="97">
        <f>SUM(I57:I65)</f>
        <v>0</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144</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6.8300000000000001E-4</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152.732</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6.4300000000000002E-4</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144</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7.7099999999999998E-4</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144</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6.8400000000000004E-4</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144</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7.7200000000000001E-4</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6.8400000000000004E-4</v>
      </c>
      <c r="I85" s="101">
        <f>ROUND(F85*H85,2)</f>
        <v>31670.37</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53"/>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6.8300000000000001E-4</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7.7200000000000001E-4</v>
      </c>
      <c r="I90" s="101">
        <f>ROUND(F90*H90,2)</f>
        <v>14765.19</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7.7099999999999998E-4</v>
      </c>
      <c r="I92" s="101">
        <f t="shared" ref="I92:I96" si="14">ROUND(F92*H92,2)</f>
        <v>8875.26</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6.4300000000000002E-4</v>
      </c>
      <c r="I94" s="101">
        <f t="shared" si="14"/>
        <v>164451.63</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6.4300000000000002E-4</v>
      </c>
      <c r="I96" s="101">
        <f t="shared" si="14"/>
        <v>-9930.5300000000007</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6.8300000000000001E-4</v>
      </c>
      <c r="I98" s="101">
        <f t="shared" ref="I98" si="16">ROUND(F98*H98,2)</f>
        <v>3839.43</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82.731999999999999</v>
      </c>
      <c r="D104" s="806"/>
      <c r="E104" s="46">
        <f>H8</f>
        <v>1.0407999999999999</v>
      </c>
      <c r="F104" s="302">
        <f>'1461'!F104</f>
        <v>950.92</v>
      </c>
      <c r="G104" s="39" t="s">
        <v>12</v>
      </c>
      <c r="H104" s="101">
        <f>ROUND(C104*E104*F104,2)</f>
        <v>81881.31</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70</v>
      </c>
      <c r="D105" s="806"/>
      <c r="E105" s="46">
        <f>H8</f>
        <v>1.0407999999999999</v>
      </c>
      <c r="F105" s="302">
        <f>'1461'!F105</f>
        <v>907.92</v>
      </c>
      <c r="G105" s="39" t="s">
        <v>12</v>
      </c>
      <c r="H105" s="101">
        <f>ROUND(C105*E105*F105,2)</f>
        <v>66147.42</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0</v>
      </c>
      <c r="D106" s="806"/>
      <c r="E106" s="46">
        <f>H8</f>
        <v>1.0407999999999999</v>
      </c>
      <c r="F106" s="302">
        <f>'1461'!F106</f>
        <v>910.12</v>
      </c>
      <c r="G106" s="39" t="s">
        <v>12</v>
      </c>
      <c r="H106" s="94">
        <f>ROUND(C106*E106*F106,2)</f>
        <v>0</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152.732</v>
      </c>
      <c r="D107" s="796"/>
      <c r="E107" s="123"/>
      <c r="F107" s="123"/>
      <c r="G107" s="123"/>
      <c r="H107" s="124" t="s">
        <v>100</v>
      </c>
      <c r="I107" s="101">
        <f>IF(A1=75,0,H106+H105+H104)</f>
        <v>148028.72999999998</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44">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44">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42">
        <f>IF(D30=0,C121*2,C121+D121)</f>
        <v>0</v>
      </c>
      <c r="F121" s="885">
        <v>0</v>
      </c>
      <c r="G121" s="885"/>
      <c r="H121" s="61">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44">
        <f>IF(D31=0,C122*2,C122+D122)</f>
        <v>0</v>
      </c>
      <c r="F122" s="808">
        <f>ROUND(F121/2,2)</f>
        <v>0</v>
      </c>
      <c r="G122" s="808"/>
      <c r="H122" s="61">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44">
        <f>IF(D32=0,C123*2,C123+D123)</f>
        <v>0</v>
      </c>
      <c r="F123" s="809"/>
      <c r="G123" s="809"/>
      <c r="H123" s="63">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1209131.1399999999</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1209131.1399999999</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1209131.1399999999</v>
      </c>
      <c r="I135" s="94">
        <f>ROUND(IF(E30=0,0,IF(E30&gt;250,-(((250/E30)*H135)*IF(G135="H",0.02,0.05)),IF(G135="H",-0.02*H135,-0.05*H135))),2)</f>
        <v>-60456.56</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1148674.5799999998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Payments'!R115</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1148674.5799999998</v>
      </c>
      <c r="J141" s="236"/>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95722.880000000005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1">
    <tabColor rgb="FFFFCCCC"/>
  </sheetPr>
  <dimension ref="A1:V221"/>
  <sheetViews>
    <sheetView topLeftCell="A109" workbookViewId="0">
      <selection activeCell="I145" sqref="I14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322</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2"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147.03</v>
      </c>
      <c r="D16" s="143">
        <v>0</v>
      </c>
      <c r="E16" s="116">
        <f t="shared" si="1"/>
        <v>294.06</v>
      </c>
      <c r="F16" s="833">
        <f>'1461'!F16:G16</f>
        <v>1</v>
      </c>
      <c r="G16" s="833"/>
      <c r="H16" s="80">
        <f t="shared" si="2"/>
        <v>294.06</v>
      </c>
      <c r="I16" s="101">
        <f t="shared" si="3"/>
        <v>1631587.2</v>
      </c>
      <c r="N16" s="834" t="s">
        <v>22</v>
      </c>
      <c r="O16" s="834"/>
      <c r="P16" s="831">
        <f t="shared" si="0"/>
        <v>0</v>
      </c>
      <c r="Q16" s="831"/>
      <c r="R16" s="835">
        <v>1</v>
      </c>
      <c r="S16" s="835"/>
      <c r="T16" s="95">
        <f t="shared" si="4"/>
        <v>0</v>
      </c>
      <c r="U16" s="524">
        <f t="shared" si="5"/>
        <v>0</v>
      </c>
    </row>
    <row r="17" spans="1:21" x14ac:dyDescent="0.25">
      <c r="A17" s="788" t="s">
        <v>23</v>
      </c>
      <c r="B17" s="788"/>
      <c r="C17" s="143">
        <v>22.5</v>
      </c>
      <c r="D17" s="143">
        <v>0</v>
      </c>
      <c r="E17" s="116">
        <f t="shared" si="1"/>
        <v>45</v>
      </c>
      <c r="F17" s="833">
        <f>'1461'!F17:G17</f>
        <v>1</v>
      </c>
      <c r="G17" s="833"/>
      <c r="H17" s="80">
        <f t="shared" si="2"/>
        <v>45</v>
      </c>
      <c r="I17" s="101">
        <f t="shared" si="3"/>
        <v>249681.78</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189.59</v>
      </c>
      <c r="D18" s="143">
        <v>0</v>
      </c>
      <c r="E18" s="116">
        <f t="shared" si="1"/>
        <v>379.18</v>
      </c>
      <c r="F18" s="833">
        <f>'1461'!F18:G18</f>
        <v>0.97799999999999998</v>
      </c>
      <c r="G18" s="833"/>
      <c r="H18" s="80">
        <f t="shared" si="2"/>
        <v>370.83800000000002</v>
      </c>
      <c r="I18" s="101">
        <f t="shared" si="3"/>
        <v>2057588.7</v>
      </c>
      <c r="N18" s="834" t="s">
        <v>24</v>
      </c>
      <c r="O18" s="834"/>
      <c r="P18" s="831">
        <f t="shared" si="0"/>
        <v>0</v>
      </c>
      <c r="Q18" s="831"/>
      <c r="R18" s="835">
        <v>1</v>
      </c>
      <c r="S18" s="835"/>
      <c r="T18" s="95">
        <f t="shared" si="4"/>
        <v>0</v>
      </c>
      <c r="U18" s="524">
        <f t="shared" si="5"/>
        <v>0</v>
      </c>
    </row>
    <row r="19" spans="1:21" x14ac:dyDescent="0.25">
      <c r="A19" s="788" t="s">
        <v>25</v>
      </c>
      <c r="B19" s="788"/>
      <c r="C19" s="143">
        <v>30.5</v>
      </c>
      <c r="D19" s="143">
        <v>0</v>
      </c>
      <c r="E19" s="116">
        <f t="shared" si="1"/>
        <v>61</v>
      </c>
      <c r="F19" s="833">
        <f>'1461'!F19:G19</f>
        <v>0.97799999999999998</v>
      </c>
      <c r="G19" s="833"/>
      <c r="H19" s="80">
        <f t="shared" si="2"/>
        <v>59.658000000000001</v>
      </c>
      <c r="I19" s="101">
        <f t="shared" si="3"/>
        <v>331011.46000000002</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27.85</v>
      </c>
      <c r="D27" s="143">
        <v>0</v>
      </c>
      <c r="E27" s="116">
        <f t="shared" si="1"/>
        <v>55.7</v>
      </c>
      <c r="F27" s="833">
        <f>'1461'!F27:G27</f>
        <v>1.1919999999999999</v>
      </c>
      <c r="G27" s="833"/>
      <c r="H27" s="80">
        <f t="shared" si="2"/>
        <v>66.394400000000005</v>
      </c>
      <c r="I27" s="101">
        <f t="shared" si="3"/>
        <v>368388.27</v>
      </c>
      <c r="N27" s="834" t="s">
        <v>86</v>
      </c>
      <c r="O27" s="834"/>
      <c r="P27" s="831">
        <f t="shared" si="0"/>
        <v>0</v>
      </c>
      <c r="Q27" s="831"/>
      <c r="R27" s="835">
        <v>1</v>
      </c>
      <c r="S27" s="835"/>
      <c r="T27" s="95">
        <f t="shared" si="4"/>
        <v>0</v>
      </c>
      <c r="U27" s="524">
        <f t="shared" si="5"/>
        <v>0</v>
      </c>
    </row>
    <row r="28" spans="1:21" x14ac:dyDescent="0.25">
      <c r="A28" s="788" t="s">
        <v>87</v>
      </c>
      <c r="B28" s="788"/>
      <c r="C28" s="143">
        <v>45.26</v>
      </c>
      <c r="D28" s="143">
        <v>0</v>
      </c>
      <c r="E28" s="116">
        <f t="shared" si="1"/>
        <v>90.52</v>
      </c>
      <c r="F28" s="833">
        <f>'1461'!F28:G28</f>
        <v>1.1919999999999999</v>
      </c>
      <c r="G28" s="833"/>
      <c r="H28" s="80">
        <f t="shared" si="2"/>
        <v>107.8998</v>
      </c>
      <c r="I28" s="101">
        <f t="shared" si="3"/>
        <v>598680.31000000006</v>
      </c>
      <c r="N28" s="834" t="s">
        <v>87</v>
      </c>
      <c r="O28" s="834"/>
      <c r="P28" s="831">
        <f t="shared" si="0"/>
        <v>0</v>
      </c>
      <c r="Q28" s="831"/>
      <c r="R28" s="835">
        <v>1</v>
      </c>
      <c r="S28" s="835"/>
      <c r="T28" s="95">
        <f t="shared" si="4"/>
        <v>0</v>
      </c>
      <c r="U28" s="524">
        <f t="shared" si="5"/>
        <v>0</v>
      </c>
    </row>
    <row r="29" spans="1:21" x14ac:dyDescent="0.25">
      <c r="A29" s="788" t="s">
        <v>88</v>
      </c>
      <c r="B29" s="788"/>
      <c r="C29" s="110">
        <v>24.55</v>
      </c>
      <c r="D29" s="110">
        <v>0</v>
      </c>
      <c r="E29" s="154">
        <f t="shared" si="1"/>
        <v>49.1</v>
      </c>
      <c r="F29" s="833">
        <f>'1461'!F29:G29</f>
        <v>1.079</v>
      </c>
      <c r="G29" s="833"/>
      <c r="H29" s="93">
        <f t="shared" si="2"/>
        <v>52.978900000000003</v>
      </c>
      <c r="I29" s="94">
        <f t="shared" si="3"/>
        <v>293952.58</v>
      </c>
      <c r="N29" s="836" t="s">
        <v>88</v>
      </c>
      <c r="O29" s="836"/>
      <c r="P29" s="831">
        <f t="shared" si="0"/>
        <v>0</v>
      </c>
      <c r="Q29" s="831"/>
      <c r="R29" s="837">
        <v>1</v>
      </c>
      <c r="S29" s="837"/>
      <c r="T29" s="95">
        <f t="shared" si="4"/>
        <v>0</v>
      </c>
      <c r="U29" s="524">
        <f t="shared" si="5"/>
        <v>0</v>
      </c>
    </row>
    <row r="30" spans="1:21" x14ac:dyDescent="0.25">
      <c r="A30" s="800" t="s">
        <v>5</v>
      </c>
      <c r="B30" s="800"/>
      <c r="C30" s="94">
        <f>SUM(C14:C29)</f>
        <v>487.28000000000003</v>
      </c>
      <c r="D30" s="94">
        <f>SUM(D14:D29)</f>
        <v>0</v>
      </c>
      <c r="E30" s="94">
        <f>SUM(E14:E29)</f>
        <v>974.56000000000006</v>
      </c>
      <c r="F30" s="792"/>
      <c r="G30" s="792"/>
      <c r="H30" s="99">
        <f>SUM(H14:H29)</f>
        <v>996.82910000000004</v>
      </c>
      <c r="I30" s="94">
        <f>SUM(I14:I29)</f>
        <v>5530890.3000000007</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42">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44">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44">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44">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44">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36">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996.82910000000004</v>
      </c>
      <c r="F46" s="34"/>
      <c r="G46" s="106"/>
      <c r="H46" s="107" t="s">
        <v>98</v>
      </c>
      <c r="I46" s="94">
        <f>SUM(I44,I30)</f>
        <v>5530890.3000000007</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5887722.7200000007</v>
      </c>
      <c r="G51" s="109" t="s">
        <v>6</v>
      </c>
      <c r="H51" s="453">
        <v>5.5899999999999998E-2</v>
      </c>
      <c r="I51" s="101">
        <f>ROUND(F51*H51,2)</f>
        <v>329123.7</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5887722.7200000007</v>
      </c>
      <c r="G52" s="109" t="s">
        <v>6</v>
      </c>
      <c r="H52" s="453">
        <v>1.0699999999999999E-2</v>
      </c>
      <c r="I52" s="101">
        <f>ROUND(F52*H52,2)</f>
        <v>62998.63</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392122.33</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19</v>
      </c>
      <c r="D60" s="143">
        <v>0</v>
      </c>
      <c r="E60" s="116">
        <f t="shared" si="10"/>
        <v>38</v>
      </c>
      <c r="F60" s="495" t="s">
        <v>13</v>
      </c>
      <c r="G60" s="494">
        <v>251</v>
      </c>
      <c r="H60" s="508">
        <f>'1461'!H60</f>
        <v>1173</v>
      </c>
      <c r="I60" s="101">
        <f t="shared" si="11"/>
        <v>44574</v>
      </c>
      <c r="N60" s="849"/>
      <c r="O60" s="849"/>
      <c r="P60" s="851"/>
      <c r="Q60" s="851"/>
      <c r="R60" s="40" t="s">
        <v>13</v>
      </c>
      <c r="S60" s="500">
        <v>251</v>
      </c>
      <c r="T60" s="511">
        <f t="shared" si="12"/>
        <v>1173</v>
      </c>
      <c r="U60" s="525">
        <f t="shared" si="13"/>
        <v>0</v>
      </c>
      <c r="V60" s="475"/>
    </row>
    <row r="61" spans="1:22" x14ac:dyDescent="0.25">
      <c r="A61" s="799"/>
      <c r="B61" s="799"/>
      <c r="C61" s="143">
        <v>3.5</v>
      </c>
      <c r="D61" s="143">
        <v>0</v>
      </c>
      <c r="E61" s="116">
        <f t="shared" si="10"/>
        <v>7</v>
      </c>
      <c r="F61" s="495" t="s">
        <v>13</v>
      </c>
      <c r="G61" s="494">
        <v>252</v>
      </c>
      <c r="H61" s="508">
        <f>'1461'!H61</f>
        <v>3506</v>
      </c>
      <c r="I61" s="101">
        <f t="shared" si="11"/>
        <v>24542</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25.5</v>
      </c>
      <c r="D63" s="143">
        <v>0</v>
      </c>
      <c r="E63" s="116">
        <f t="shared" si="10"/>
        <v>51</v>
      </c>
      <c r="F63" s="495" t="s">
        <v>14</v>
      </c>
      <c r="G63" s="494">
        <v>251</v>
      </c>
      <c r="H63" s="508">
        <f>'1461'!H63</f>
        <v>835</v>
      </c>
      <c r="I63" s="101">
        <f t="shared" si="11"/>
        <v>42585</v>
      </c>
      <c r="N63" s="849"/>
      <c r="O63" s="849"/>
      <c r="P63" s="851"/>
      <c r="Q63" s="851"/>
      <c r="R63" s="40" t="s">
        <v>14</v>
      </c>
      <c r="S63" s="500">
        <v>251</v>
      </c>
      <c r="T63" s="511">
        <f t="shared" si="12"/>
        <v>835</v>
      </c>
      <c r="U63" s="525">
        <f t="shared" si="13"/>
        <v>0</v>
      </c>
      <c r="V63" s="475"/>
    </row>
    <row r="64" spans="1:22" x14ac:dyDescent="0.25">
      <c r="A64" s="799"/>
      <c r="B64" s="799"/>
      <c r="C64" s="143">
        <v>5</v>
      </c>
      <c r="D64" s="143">
        <v>0</v>
      </c>
      <c r="E64" s="116">
        <f t="shared" si="10"/>
        <v>10</v>
      </c>
      <c r="F64" s="495" t="s">
        <v>14</v>
      </c>
      <c r="G64" s="494">
        <v>252</v>
      </c>
      <c r="H64" s="508">
        <f>'1461'!H64</f>
        <v>3168</v>
      </c>
      <c r="I64" s="101">
        <f t="shared" si="11"/>
        <v>31680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53</v>
      </c>
      <c r="D66" s="97">
        <f>SUM(D57:D65)</f>
        <v>0</v>
      </c>
      <c r="E66" s="97">
        <f>SUM(E57:E65)</f>
        <v>106</v>
      </c>
      <c r="F66" s="800" t="s">
        <v>507</v>
      </c>
      <c r="G66" s="800"/>
      <c r="H66" s="800"/>
      <c r="I66" s="97">
        <f>SUM(I57:I65)</f>
        <v>143381</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974.56000000000006</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4.62E-3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996.82910000000004</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4.1949999999999999E-3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974.56000000000006</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5.2160000000000002E-3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974.56000000000006</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4.627E-3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974.56000000000006</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5.2249999999999996E-3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4.627E-3</v>
      </c>
      <c r="I85" s="101">
        <f>ROUND(F85*H85,2)</f>
        <v>214238.04</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53"/>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4.62E-3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5.2249999999999996E-3</v>
      </c>
      <c r="I90" s="101">
        <f>ROUND(F90*H90,2)</f>
        <v>99932.78</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5.2160000000000002E-3</v>
      </c>
      <c r="I92" s="101">
        <f t="shared" ref="I92:I96" si="14">ROUND(F92*H92,2)</f>
        <v>60043.27</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4.1949999999999999E-3</v>
      </c>
      <c r="I94" s="101">
        <f t="shared" si="14"/>
        <v>1072899.8400000001</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4.1949999999999999E-3</v>
      </c>
      <c r="I96" s="101">
        <f t="shared" si="14"/>
        <v>-64787.81</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4.62E-3</v>
      </c>
      <c r="I98" s="101">
        <f t="shared" ref="I98" si="16">ROUND(F98*H98,2)</f>
        <v>25970.98</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405.45440000000002</v>
      </c>
      <c r="D105" s="806"/>
      <c r="E105" s="46">
        <f>H8</f>
        <v>1.0407999999999999</v>
      </c>
      <c r="F105" s="302">
        <f>'1461'!F105</f>
        <v>907.92</v>
      </c>
      <c r="G105" s="39" t="s">
        <v>12</v>
      </c>
      <c r="H105" s="101">
        <f>ROUND(C105*E105*F105,2)</f>
        <v>383139.46</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591.37469999999996</v>
      </c>
      <c r="D106" s="806"/>
      <c r="E106" s="46">
        <f>H8</f>
        <v>1.0407999999999999</v>
      </c>
      <c r="F106" s="302">
        <f>'1461'!F106</f>
        <v>910.12</v>
      </c>
      <c r="G106" s="39" t="s">
        <v>12</v>
      </c>
      <c r="H106" s="94">
        <f>ROUND(C106*E106*F106,2)</f>
        <v>560181.4</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996.82909999999993</v>
      </c>
      <c r="D107" s="796"/>
      <c r="E107" s="123"/>
      <c r="F107" s="123"/>
      <c r="G107" s="123"/>
      <c r="H107" s="124" t="s">
        <v>100</v>
      </c>
      <c r="I107" s="101">
        <f>IF(A1=75,0,H106+H105+H104)</f>
        <v>943320.8600000001</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44">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44">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42">
        <f>IF(D30=0,C121*2,C121+D121)</f>
        <v>0</v>
      </c>
      <c r="F121" s="885">
        <v>0</v>
      </c>
      <c r="G121" s="885"/>
      <c r="H121" s="61">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44">
        <f>IF(D31=0,C122*2,C122+D122)</f>
        <v>0</v>
      </c>
      <c r="F122" s="808">
        <f>ROUND(F121/2,2)</f>
        <v>0</v>
      </c>
      <c r="G122" s="808"/>
      <c r="H122" s="61">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44">
        <f>IF(D32=0,C123*2,C123+D123)</f>
        <v>0</v>
      </c>
      <c r="F123" s="809"/>
      <c r="G123" s="809"/>
      <c r="H123" s="63">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8025889.2600000016</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7633766.9300000016</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7633766.9300000016</v>
      </c>
      <c r="I135" s="94">
        <f>ROUND(IF(E30=0,0,IF(E30&gt;250,-(((250/E30)*H135)*IF(G135="H",0.02,0.05)),IF(G135="H",-0.02*H135,-0.05*H135))),2)</f>
        <v>-97912.99</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7927976.2700000014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Payments'!Q116</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7927976.2700000014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660664.68999999994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283775.35999999999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346</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4"/>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2"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103.18</v>
      </c>
      <c r="D18" s="143">
        <v>0</v>
      </c>
      <c r="E18" s="116">
        <f t="shared" si="1"/>
        <v>206.36</v>
      </c>
      <c r="F18" s="833">
        <f>'1461'!F18:G18</f>
        <v>0.97799999999999998</v>
      </c>
      <c r="G18" s="833"/>
      <c r="H18" s="80">
        <f t="shared" si="2"/>
        <v>201.8201</v>
      </c>
      <c r="I18" s="101">
        <f t="shared" si="3"/>
        <v>1119795.5900000001</v>
      </c>
      <c r="N18" s="834" t="s">
        <v>24</v>
      </c>
      <c r="O18" s="834"/>
      <c r="P18" s="831">
        <f t="shared" si="0"/>
        <v>0</v>
      </c>
      <c r="Q18" s="831"/>
      <c r="R18" s="835">
        <v>1</v>
      </c>
      <c r="S18" s="835"/>
      <c r="T18" s="95">
        <f t="shared" si="4"/>
        <v>0</v>
      </c>
      <c r="U18" s="524">
        <f t="shared" si="5"/>
        <v>0</v>
      </c>
    </row>
    <row r="19" spans="1:21" x14ac:dyDescent="0.25">
      <c r="A19" s="788" t="s">
        <v>25</v>
      </c>
      <c r="B19" s="788"/>
      <c r="C19" s="143">
        <v>17.920000000000002</v>
      </c>
      <c r="D19" s="143">
        <v>0</v>
      </c>
      <c r="E19" s="116">
        <f t="shared" si="1"/>
        <v>35.840000000000003</v>
      </c>
      <c r="F19" s="833">
        <f>'1461'!F19:G19</f>
        <v>0.97799999999999998</v>
      </c>
      <c r="G19" s="833"/>
      <c r="H19" s="80">
        <f t="shared" si="2"/>
        <v>35.051499999999997</v>
      </c>
      <c r="I19" s="101">
        <f t="shared" si="3"/>
        <v>194482.69</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23.78</v>
      </c>
      <c r="D28" s="143">
        <v>0</v>
      </c>
      <c r="E28" s="116">
        <f t="shared" si="1"/>
        <v>47.56</v>
      </c>
      <c r="F28" s="833">
        <f>'1461'!F28:G28</f>
        <v>1.1919999999999999</v>
      </c>
      <c r="G28" s="833"/>
      <c r="H28" s="80">
        <f t="shared" si="2"/>
        <v>56.691499999999998</v>
      </c>
      <c r="I28" s="101">
        <f t="shared" si="3"/>
        <v>314551.88</v>
      </c>
      <c r="N28" s="834" t="s">
        <v>87</v>
      </c>
      <c r="O28" s="834"/>
      <c r="P28" s="831">
        <f t="shared" si="0"/>
        <v>0</v>
      </c>
      <c r="Q28" s="831"/>
      <c r="R28" s="835">
        <v>1</v>
      </c>
      <c r="S28" s="835"/>
      <c r="T28" s="95">
        <f t="shared" si="4"/>
        <v>0</v>
      </c>
      <c r="U28" s="524">
        <f t="shared" si="5"/>
        <v>0</v>
      </c>
    </row>
    <row r="29" spans="1:21" x14ac:dyDescent="0.25">
      <c r="A29" s="788" t="s">
        <v>88</v>
      </c>
      <c r="B29" s="788"/>
      <c r="C29" s="110">
        <v>8.64</v>
      </c>
      <c r="D29" s="110">
        <v>0</v>
      </c>
      <c r="E29" s="116">
        <f t="shared" si="1"/>
        <v>17.28</v>
      </c>
      <c r="F29" s="833">
        <f>'1461'!F29:G29</f>
        <v>1.079</v>
      </c>
      <c r="G29" s="833"/>
      <c r="H29" s="93">
        <f t="shared" si="2"/>
        <v>18.645099999999999</v>
      </c>
      <c r="I29" s="94">
        <f t="shared" si="3"/>
        <v>103452.04</v>
      </c>
      <c r="N29" s="836" t="s">
        <v>88</v>
      </c>
      <c r="O29" s="836"/>
      <c r="P29" s="831">
        <f t="shared" si="0"/>
        <v>0</v>
      </c>
      <c r="Q29" s="831"/>
      <c r="R29" s="837">
        <v>1</v>
      </c>
      <c r="S29" s="837"/>
      <c r="T29" s="95">
        <f t="shared" si="4"/>
        <v>0</v>
      </c>
      <c r="U29" s="524">
        <f t="shared" si="5"/>
        <v>0</v>
      </c>
    </row>
    <row r="30" spans="1:21" x14ac:dyDescent="0.25">
      <c r="A30" s="800" t="s">
        <v>5</v>
      </c>
      <c r="B30" s="800"/>
      <c r="C30" s="94">
        <f>SUM(C14:C29)</f>
        <v>153.51999999999998</v>
      </c>
      <c r="D30" s="94">
        <f>SUM(D14:D29)</f>
        <v>0</v>
      </c>
      <c r="E30" s="97">
        <f>SUM(E14:E29)</f>
        <v>307.03999999999996</v>
      </c>
      <c r="F30" s="792"/>
      <c r="G30" s="792"/>
      <c r="H30" s="99">
        <f>SUM(H14:H29)</f>
        <v>312.20820000000003</v>
      </c>
      <c r="I30" s="94">
        <f>SUM(I14:I29)</f>
        <v>1732282.2000000002</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42">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44">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44">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44">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44">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36">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312.20820000000003</v>
      </c>
      <c r="F46" s="34"/>
      <c r="G46" s="106"/>
      <c r="H46" s="107" t="s">
        <v>98</v>
      </c>
      <c r="I46" s="94">
        <f>SUM(I44,I30)</f>
        <v>1732282.2000000002</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1737693.6400000001</v>
      </c>
      <c r="G51" s="109" t="s">
        <v>6</v>
      </c>
      <c r="H51" s="453">
        <v>5.5899999999999998E-2</v>
      </c>
      <c r="I51" s="101">
        <f>ROUND(F51*H51,2)</f>
        <v>97137.07</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1737693.6400000001</v>
      </c>
      <c r="G52" s="109" t="s">
        <v>6</v>
      </c>
      <c r="H52" s="453">
        <v>1.0699999999999999E-2</v>
      </c>
      <c r="I52" s="101">
        <f>ROUND(F52*H52,2)</f>
        <v>18593.32</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115730.39000000001</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17.920000000000002</v>
      </c>
      <c r="D63" s="143">
        <v>0</v>
      </c>
      <c r="E63" s="116">
        <f t="shared" si="10"/>
        <v>35.840000000000003</v>
      </c>
      <c r="F63" s="495" t="s">
        <v>14</v>
      </c>
      <c r="G63" s="494">
        <v>251</v>
      </c>
      <c r="H63" s="508">
        <f>'1461'!H63</f>
        <v>835</v>
      </c>
      <c r="I63" s="101">
        <f t="shared" si="11"/>
        <v>29926.400000000001</v>
      </c>
      <c r="N63" s="849"/>
      <c r="O63" s="849"/>
      <c r="P63" s="851"/>
      <c r="Q63" s="851"/>
      <c r="R63" s="40" t="s">
        <v>14</v>
      </c>
      <c r="S63" s="500">
        <v>251</v>
      </c>
      <c r="T63" s="511">
        <f t="shared" si="12"/>
        <v>835</v>
      </c>
      <c r="U63" s="525">
        <f t="shared" si="13"/>
        <v>0</v>
      </c>
      <c r="V63" s="475"/>
    </row>
    <row r="64" spans="1:22" x14ac:dyDescent="0.25">
      <c r="A64" s="799"/>
      <c r="B64" s="799"/>
      <c r="C64" s="143">
        <v>0</v>
      </c>
      <c r="D64" s="143">
        <v>0</v>
      </c>
      <c r="E64" s="116">
        <f t="shared" si="10"/>
        <v>0</v>
      </c>
      <c r="F64" s="495" t="s">
        <v>14</v>
      </c>
      <c r="G64" s="494">
        <v>252</v>
      </c>
      <c r="H64" s="508">
        <f>'1461'!H64</f>
        <v>3168</v>
      </c>
      <c r="I64" s="101">
        <f t="shared" si="11"/>
        <v>0</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17.920000000000002</v>
      </c>
      <c r="D66" s="97">
        <f>SUM(D57:D65)</f>
        <v>0</v>
      </c>
      <c r="E66" s="97">
        <f>SUM(E57:E65)</f>
        <v>35.840000000000003</v>
      </c>
      <c r="F66" s="800" t="s">
        <v>507</v>
      </c>
      <c r="G66" s="800"/>
      <c r="H66" s="800"/>
      <c r="I66" s="97">
        <f>SUM(I57:I65)</f>
        <v>29926.400000000001</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307.03999999999996</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1.456E-3</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312.20820000000003</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1.3140000000000001E-3</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307.03999999999996</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1.6429999999999999E-3</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307.03999999999996</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1.4580000000000001E-3</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307.03999999999996</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1.6459999999999999E-3</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1.4580000000000001E-3</v>
      </c>
      <c r="I85" s="101">
        <f>ROUND(F85*H85,2)</f>
        <v>67507.899999999994</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53"/>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1.456E-3</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1.6459999999999999E-3</v>
      </c>
      <c r="I90" s="101">
        <f>ROUND(F90*H90,2)</f>
        <v>31481.21</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1.6429999999999999E-3</v>
      </c>
      <c r="I92" s="101">
        <f t="shared" ref="I92:I96" si="14">ROUND(F92*H92,2)</f>
        <v>18913.169999999998</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1.3140000000000001E-3</v>
      </c>
      <c r="I94" s="101">
        <f t="shared" si="14"/>
        <v>336064.46</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1.3140000000000001E-3</v>
      </c>
      <c r="I96" s="101">
        <f t="shared" si="14"/>
        <v>-20293.490000000002</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1.456E-3</v>
      </c>
      <c r="I98" s="101">
        <f t="shared" ref="I98" si="16">ROUND(F98*H98,2)</f>
        <v>8184.79</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312.20820000000003</v>
      </c>
      <c r="D106" s="806"/>
      <c r="E106" s="46">
        <f>H8</f>
        <v>1.0407999999999999</v>
      </c>
      <c r="F106" s="302">
        <f>'1461'!F106</f>
        <v>910.12</v>
      </c>
      <c r="G106" s="39" t="s">
        <v>12</v>
      </c>
      <c r="H106" s="94">
        <f>ROUND(C106*E106*F106,2)</f>
        <v>295740.12</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312.20820000000003</v>
      </c>
      <c r="D107" s="796"/>
      <c r="E107" s="123"/>
      <c r="F107" s="123"/>
      <c r="G107" s="123"/>
      <c r="H107" s="124" t="s">
        <v>100</v>
      </c>
      <c r="I107" s="101">
        <f>IF(A1=75,0,H106+H105+H104)</f>
        <v>295740.12</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44">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44">
        <f>C114</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42">
        <f>IF(D30=0,C121*2,C121+D121)</f>
        <v>0</v>
      </c>
      <c r="F121" s="885">
        <v>0</v>
      </c>
      <c r="G121" s="885"/>
      <c r="H121" s="61">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44">
        <f>IF(D31=0,C122*2,C122+D122)</f>
        <v>0</v>
      </c>
      <c r="F122" s="808">
        <f>ROUND(F121/2,2)</f>
        <v>0</v>
      </c>
      <c r="G122" s="808"/>
      <c r="H122" s="61">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44">
        <f>IF(D32=0,C123*2,C123+D123)</f>
        <v>0</v>
      </c>
      <c r="F123" s="809"/>
      <c r="G123" s="809"/>
      <c r="H123" s="63">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2499806.7599999998</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2384076.3699999996</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2384076.3699999996</v>
      </c>
      <c r="I135" s="94">
        <f>ROUND(IF(E30=0,0,IF(E30&gt;250,-(((250/E30)*H135)*IF(G135="H",0.02,0.05)),IF(G135="H",-0.02*H135,-0.05*H135))),2)</f>
        <v>-97058.87</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2402747.8899999997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Payments'!Q117</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2402747.8899999997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200228.99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22144.95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412"/>
      <c r="Q149" s="73"/>
      <c r="R149" s="73"/>
      <c r="S149" s="73"/>
      <c r="T149" s="73"/>
      <c r="U149" s="73"/>
    </row>
    <row r="150" spans="1:21" x14ac:dyDescent="0.25">
      <c r="B150" s="69"/>
      <c r="C150" s="69"/>
      <c r="D150" s="69"/>
      <c r="E150" s="69"/>
      <c r="F150" s="69"/>
      <c r="G150" s="69"/>
      <c r="H150" s="65"/>
      <c r="I150" s="134"/>
      <c r="N150" s="73"/>
      <c r="O150" s="73"/>
      <c r="P150" s="412"/>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76" t="s">
        <v>15</v>
      </c>
      <c r="C1" s="777"/>
      <c r="D1" s="777"/>
      <c r="E1" s="777"/>
      <c r="F1" s="777"/>
      <c r="G1" s="777"/>
      <c r="H1" s="777"/>
      <c r="I1" s="777"/>
      <c r="J1" s="135"/>
      <c r="K1" s="135"/>
      <c r="L1" s="135"/>
      <c r="N1" s="82">
        <f>A1</f>
        <v>0</v>
      </c>
      <c r="O1" s="810" t="s">
        <v>15</v>
      </c>
      <c r="P1" s="811"/>
      <c r="Q1" s="811"/>
      <c r="R1" s="811"/>
      <c r="S1" s="811"/>
      <c r="T1" s="811"/>
      <c r="U1" s="811"/>
    </row>
    <row r="2" spans="1:21" ht="21" x14ac:dyDescent="0.35">
      <c r="A2" s="1" t="s">
        <v>410</v>
      </c>
      <c r="B2" s="2"/>
      <c r="C2" s="2"/>
      <c r="D2" s="2"/>
      <c r="E2" s="2"/>
      <c r="F2" s="2"/>
      <c r="G2" s="2"/>
      <c r="H2" s="2"/>
      <c r="I2" s="2"/>
      <c r="N2" s="812" t="s">
        <v>18</v>
      </c>
      <c r="O2" s="812"/>
      <c r="P2" s="812"/>
      <c r="Q2" s="812"/>
      <c r="R2" s="812"/>
      <c r="S2" s="812"/>
      <c r="T2" s="812"/>
      <c r="U2" s="812"/>
    </row>
    <row r="3" spans="1:21" x14ac:dyDescent="0.25">
      <c r="A3" s="81" t="str">
        <f>'1461'!A3</f>
        <v>Based on the FLDOE 2024-25 Third Calculation</v>
      </c>
      <c r="N3" s="813" t="str">
        <f>A3</f>
        <v>Based on the FLDOE 2024-25 Third Calculation</v>
      </c>
      <c r="O3" s="813"/>
      <c r="P3" s="813"/>
      <c r="Q3" s="813"/>
      <c r="R3" s="813"/>
      <c r="S3" s="813"/>
      <c r="T3" s="813"/>
      <c r="U3" s="813"/>
    </row>
    <row r="4" spans="1:21" x14ac:dyDescent="0.25">
      <c r="A4" s="778" t="s">
        <v>0</v>
      </c>
      <c r="B4" s="778"/>
      <c r="C4" s="779" t="s">
        <v>9</v>
      </c>
      <c r="D4" s="779"/>
      <c r="E4" s="779"/>
      <c r="F4" s="4" t="str">
        <f>'1461'!F4</f>
        <v>July 2025</v>
      </c>
      <c r="G4" s="4"/>
      <c r="H4" s="151"/>
      <c r="I4" s="4"/>
      <c r="N4" s="814" t="s">
        <v>0</v>
      </c>
      <c r="O4" s="814"/>
      <c r="P4" s="815" t="str">
        <f>C4</f>
        <v>Palm Beach</v>
      </c>
      <c r="Q4" s="815"/>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80" t="s">
        <v>493</v>
      </c>
      <c r="B7" s="821"/>
      <c r="C7" s="821"/>
      <c r="D7" s="821"/>
      <c r="E7" s="821"/>
      <c r="F7" s="821"/>
      <c r="G7" s="821"/>
      <c r="H7" s="821"/>
      <c r="I7" s="821"/>
      <c r="N7" s="814" t="str">
        <f>A7</f>
        <v>1A.   2023-24 FEFP State and Local Funding</v>
      </c>
      <c r="O7" s="814"/>
      <c r="P7" s="814"/>
      <c r="Q7" s="814"/>
      <c r="R7" s="814"/>
      <c r="S7" s="814"/>
      <c r="T7" s="814"/>
      <c r="U7" s="814"/>
    </row>
    <row r="8" spans="1:21" x14ac:dyDescent="0.25">
      <c r="A8" s="84"/>
      <c r="B8" s="85" t="s">
        <v>92</v>
      </c>
      <c r="C8" s="298">
        <f>'1461'!C8</f>
        <v>5330.98</v>
      </c>
      <c r="D8" s="86"/>
      <c r="E8" s="87"/>
      <c r="F8" s="84"/>
      <c r="G8" s="85" t="s">
        <v>455</v>
      </c>
      <c r="H8" s="286">
        <f>'1461'!H8</f>
        <v>1.0407999999999999</v>
      </c>
      <c r="I8" s="75"/>
      <c r="N8" s="822" t="s">
        <v>10</v>
      </c>
      <c r="O8" s="822"/>
      <c r="P8" s="823">
        <f>C8</f>
        <v>5330.98</v>
      </c>
      <c r="Q8" s="823"/>
      <c r="R8" s="824" t="s">
        <v>456</v>
      </c>
      <c r="S8" s="825"/>
      <c r="T8" s="816">
        <f>H8</f>
        <v>1.0407999999999999</v>
      </c>
      <c r="U8" s="816"/>
    </row>
    <row r="9" spans="1:21" x14ac:dyDescent="0.25">
      <c r="A9" s="84"/>
      <c r="B9" s="85"/>
      <c r="C9" s="221"/>
      <c r="D9" s="86"/>
      <c r="E9" s="87"/>
      <c r="F9" s="84"/>
      <c r="G9" s="85" t="s">
        <v>453</v>
      </c>
      <c r="H9" s="286">
        <f>'1461'!H9</f>
        <v>1</v>
      </c>
      <c r="I9" s="75"/>
      <c r="N9" s="12"/>
      <c r="O9" s="12"/>
      <c r="P9" s="13"/>
      <c r="Q9" s="13"/>
      <c r="R9" s="439" t="s">
        <v>454</v>
      </c>
      <c r="S9" s="436"/>
      <c r="T9" s="816">
        <f>H9</f>
        <v>1</v>
      </c>
      <c r="U9" s="816"/>
    </row>
    <row r="10" spans="1:21" x14ac:dyDescent="0.25">
      <c r="A10" s="7"/>
      <c r="B10" s="42" t="s">
        <v>328</v>
      </c>
      <c r="C10" s="507" t="str">
        <f>'1461'!C10</f>
        <v xml:space="preserve"> </v>
      </c>
      <c r="D10" s="88" t="str">
        <f>'1461'!D10</f>
        <v xml:space="preserve"> </v>
      </c>
      <c r="E10" s="8"/>
      <c r="F10" s="9"/>
      <c r="G10" s="9"/>
      <c r="H10" s="10"/>
      <c r="I10" s="304" t="str">
        <f>'1461'!I10</f>
        <v>2024-25</v>
      </c>
      <c r="N10" s="12"/>
      <c r="O10" s="12"/>
      <c r="P10" s="13"/>
      <c r="Q10" s="13"/>
      <c r="R10" s="14"/>
      <c r="S10" s="14"/>
      <c r="T10" s="15"/>
      <c r="U10" s="410" t="str">
        <f>I10</f>
        <v>2024-25</v>
      </c>
    </row>
    <row r="11" spans="1:21" x14ac:dyDescent="0.25">
      <c r="A11" s="7"/>
      <c r="B11" s="7"/>
      <c r="C11" s="88" t="str">
        <f>'1461'!C11</f>
        <v>Oct 2024</v>
      </c>
      <c r="D11" s="349" t="str">
        <f>'1461'!D11</f>
        <v>Feb 2025</v>
      </c>
      <c r="E11" s="89" t="s">
        <v>8</v>
      </c>
      <c r="F11" s="781" t="s">
        <v>1</v>
      </c>
      <c r="G11" s="781"/>
      <c r="H11" s="10" t="s">
        <v>60</v>
      </c>
      <c r="I11" s="11" t="s">
        <v>27</v>
      </c>
      <c r="N11" s="12"/>
      <c r="O11" s="12"/>
      <c r="P11" s="13"/>
      <c r="Q11" s="13"/>
      <c r="R11" s="817" t="s">
        <v>1</v>
      </c>
      <c r="S11" s="817"/>
      <c r="T11" s="15" t="s">
        <v>60</v>
      </c>
      <c r="U11" s="16" t="s">
        <v>27</v>
      </c>
    </row>
    <row r="12" spans="1:21" ht="15.75" customHeight="1" x14ac:dyDescent="0.25">
      <c r="A12" s="782" t="s">
        <v>1</v>
      </c>
      <c r="B12" s="782"/>
      <c r="C12" s="342" t="str">
        <f>'1461'!C12</f>
        <v>FTE</v>
      </c>
      <c r="D12" s="340" t="str">
        <f>'1461'!D12</f>
        <v>FTE</v>
      </c>
      <c r="E12" s="340" t="s">
        <v>2</v>
      </c>
      <c r="F12" s="783" t="s">
        <v>63</v>
      </c>
      <c r="G12" s="783"/>
      <c r="H12" s="17" t="s">
        <v>59</v>
      </c>
      <c r="I12" s="440" t="s">
        <v>457</v>
      </c>
      <c r="N12" s="818" t="s">
        <v>1</v>
      </c>
      <c r="O12" s="818"/>
      <c r="P12" s="819" t="s">
        <v>19</v>
      </c>
      <c r="Q12" s="819"/>
      <c r="R12" s="820" t="s">
        <v>63</v>
      </c>
      <c r="S12" s="820"/>
      <c r="T12" s="18" t="s">
        <v>59</v>
      </c>
      <c r="U12" s="19" t="str">
        <f>I12</f>
        <v>(WFTE x BSA x CWF x SDF)</v>
      </c>
    </row>
    <row r="13" spans="1:21" x14ac:dyDescent="0.25">
      <c r="A13" s="784" t="s">
        <v>36</v>
      </c>
      <c r="B13" s="784"/>
      <c r="C13" s="91"/>
      <c r="D13" s="91"/>
      <c r="E13" s="92" t="s">
        <v>37</v>
      </c>
      <c r="F13" s="785" t="s">
        <v>38</v>
      </c>
      <c r="G13" s="785"/>
      <c r="H13" s="20" t="s">
        <v>39</v>
      </c>
      <c r="I13" s="21" t="s">
        <v>40</v>
      </c>
      <c r="N13" s="826" t="s">
        <v>36</v>
      </c>
      <c r="O13" s="826"/>
      <c r="P13" s="827" t="s">
        <v>37</v>
      </c>
      <c r="Q13" s="827"/>
      <c r="R13" s="828" t="s">
        <v>38</v>
      </c>
      <c r="S13" s="828"/>
      <c r="T13" s="22" t="s">
        <v>39</v>
      </c>
      <c r="U13" s="23" t="s">
        <v>40</v>
      </c>
    </row>
    <row r="14" spans="1:21" x14ac:dyDescent="0.25">
      <c r="A14" s="786" t="s">
        <v>20</v>
      </c>
      <c r="B14" s="786"/>
      <c r="C14" s="143">
        <v>0</v>
      </c>
      <c r="D14" s="141">
        <v>0</v>
      </c>
      <c r="E14" s="187">
        <f>IF(D$30=0,C14*2,C14+D14)</f>
        <v>0</v>
      </c>
      <c r="F14" s="829">
        <f>'1461'!F14:G14</f>
        <v>1.1180000000000001</v>
      </c>
      <c r="G14" s="829"/>
      <c r="H14" s="145">
        <f>ROUND(E14*F14,4)</f>
        <v>0</v>
      </c>
      <c r="I14" s="111">
        <f>ROUND(ROUND(ROUND(H14*$C$8,4)*($H$8),2)*(MAX($H$9,1)),2)</f>
        <v>0</v>
      </c>
      <c r="N14" s="830" t="s">
        <v>20</v>
      </c>
      <c r="O14" s="830"/>
      <c r="P14" s="831">
        <f t="shared" ref="P14:P29" si="0">IF($H$133=1,E14,0)</f>
        <v>0</v>
      </c>
      <c r="Q14" s="831"/>
      <c r="R14" s="832">
        <v>1</v>
      </c>
      <c r="S14" s="832"/>
      <c r="T14" s="95">
        <f>ROUND(P14*R14,4)</f>
        <v>0</v>
      </c>
      <c r="U14" s="524">
        <f>ROUND(ROUND(ROUND(T14*$C$8,4)*($H$8),2)*(MAX($H$9,1)),2)</f>
        <v>0</v>
      </c>
    </row>
    <row r="15" spans="1:21" x14ac:dyDescent="0.25">
      <c r="A15" s="788" t="s">
        <v>21</v>
      </c>
      <c r="B15" s="788"/>
      <c r="C15" s="143">
        <v>0</v>
      </c>
      <c r="D15" s="143">
        <v>0</v>
      </c>
      <c r="E15" s="116">
        <f t="shared" ref="E15:E29" si="1">IF(D$30=0,C15*2,C15+D15)</f>
        <v>0</v>
      </c>
      <c r="F15" s="833">
        <f>'1461'!F15:G15</f>
        <v>1.1180000000000001</v>
      </c>
      <c r="G15" s="833"/>
      <c r="H15" s="80">
        <f t="shared" ref="H15:H29" si="2">ROUND(E15*F15,4)</f>
        <v>0</v>
      </c>
      <c r="I15" s="101">
        <f t="shared" ref="I15:I29" si="3">ROUND(ROUND(ROUND(H15*$C$8,4)*($H$8),2)*(MAX($H$9,1)),2)</f>
        <v>0</v>
      </c>
      <c r="J15" s="65" t="str">
        <f>IF(ROUND(E15,2)=ROUND(SUM(E57:E59),2)," ","CHECK PK-3 LINES BELOW")</f>
        <v xml:space="preserve"> </v>
      </c>
      <c r="N15" s="834" t="s">
        <v>21</v>
      </c>
      <c r="O15" s="834"/>
      <c r="P15" s="831">
        <f t="shared" si="0"/>
        <v>0</v>
      </c>
      <c r="Q15" s="831"/>
      <c r="R15" s="835">
        <v>1</v>
      </c>
      <c r="S15" s="835"/>
      <c r="T15" s="95">
        <f t="shared" ref="T15:T29" si="4">ROUND(P15*R15,4)</f>
        <v>0</v>
      </c>
      <c r="U15" s="524">
        <f t="shared" ref="U15:U29" si="5">ROUND(ROUND(ROUND(T15*$C$8,4)*($H$8),2)*(MAX($H$9,1)),2)</f>
        <v>0</v>
      </c>
    </row>
    <row r="16" spans="1:21" x14ac:dyDescent="0.25">
      <c r="A16" s="788" t="s">
        <v>22</v>
      </c>
      <c r="B16" s="788"/>
      <c r="C16" s="143">
        <v>0</v>
      </c>
      <c r="D16" s="143">
        <v>0</v>
      </c>
      <c r="E16" s="116">
        <f t="shared" si="1"/>
        <v>0</v>
      </c>
      <c r="F16" s="833">
        <f>'1461'!F16:G16</f>
        <v>1</v>
      </c>
      <c r="G16" s="833"/>
      <c r="H16" s="80">
        <f t="shared" si="2"/>
        <v>0</v>
      </c>
      <c r="I16" s="101">
        <f t="shared" si="3"/>
        <v>0</v>
      </c>
      <c r="N16" s="834" t="s">
        <v>22</v>
      </c>
      <c r="O16" s="834"/>
      <c r="P16" s="831">
        <f t="shared" si="0"/>
        <v>0</v>
      </c>
      <c r="Q16" s="831"/>
      <c r="R16" s="835">
        <v>1</v>
      </c>
      <c r="S16" s="835"/>
      <c r="T16" s="95">
        <f t="shared" si="4"/>
        <v>0</v>
      </c>
      <c r="U16" s="524">
        <f t="shared" si="5"/>
        <v>0</v>
      </c>
    </row>
    <row r="17" spans="1:21" x14ac:dyDescent="0.25">
      <c r="A17" s="788" t="s">
        <v>23</v>
      </c>
      <c r="B17" s="788"/>
      <c r="C17" s="143">
        <v>0</v>
      </c>
      <c r="D17" s="143">
        <v>0</v>
      </c>
      <c r="E17" s="116">
        <f t="shared" si="1"/>
        <v>0</v>
      </c>
      <c r="F17" s="833">
        <f>'1461'!F17:G17</f>
        <v>1</v>
      </c>
      <c r="G17" s="833"/>
      <c r="H17" s="80">
        <f t="shared" si="2"/>
        <v>0</v>
      </c>
      <c r="I17" s="101">
        <f t="shared" si="3"/>
        <v>0</v>
      </c>
      <c r="J17" s="65" t="str">
        <f>IF(ROUND(E17,2)=ROUND(SUM(E60:E62),2)," ","CHECK 4-8 LINES BELOW")</f>
        <v xml:space="preserve"> </v>
      </c>
      <c r="N17" s="834" t="s">
        <v>23</v>
      </c>
      <c r="O17" s="834"/>
      <c r="P17" s="831">
        <f t="shared" si="0"/>
        <v>0</v>
      </c>
      <c r="Q17" s="831"/>
      <c r="R17" s="835">
        <v>1</v>
      </c>
      <c r="S17" s="835"/>
      <c r="T17" s="95">
        <f t="shared" si="4"/>
        <v>0</v>
      </c>
      <c r="U17" s="524">
        <f t="shared" si="5"/>
        <v>0</v>
      </c>
    </row>
    <row r="18" spans="1:21" x14ac:dyDescent="0.25">
      <c r="A18" s="788" t="s">
        <v>24</v>
      </c>
      <c r="B18" s="788"/>
      <c r="C18" s="143">
        <v>35.590000000000003</v>
      </c>
      <c r="D18" s="143">
        <v>0</v>
      </c>
      <c r="E18" s="116">
        <f t="shared" si="1"/>
        <v>71.180000000000007</v>
      </c>
      <c r="F18" s="833">
        <f>'1461'!F18:G18</f>
        <v>0.97799999999999998</v>
      </c>
      <c r="G18" s="833"/>
      <c r="H18" s="80">
        <f t="shared" si="2"/>
        <v>69.614000000000004</v>
      </c>
      <c r="I18" s="101">
        <f t="shared" si="3"/>
        <v>386252.16</v>
      </c>
      <c r="N18" s="834" t="s">
        <v>24</v>
      </c>
      <c r="O18" s="834"/>
      <c r="P18" s="831">
        <f t="shared" si="0"/>
        <v>0</v>
      </c>
      <c r="Q18" s="831"/>
      <c r="R18" s="835">
        <v>1</v>
      </c>
      <c r="S18" s="835"/>
      <c r="T18" s="95">
        <f t="shared" si="4"/>
        <v>0</v>
      </c>
      <c r="U18" s="524">
        <f t="shared" si="5"/>
        <v>0</v>
      </c>
    </row>
    <row r="19" spans="1:21" x14ac:dyDescent="0.25">
      <c r="A19" s="788" t="s">
        <v>25</v>
      </c>
      <c r="B19" s="788"/>
      <c r="C19" s="143">
        <v>8.27</v>
      </c>
      <c r="D19" s="143">
        <v>0</v>
      </c>
      <c r="E19" s="116">
        <f t="shared" si="1"/>
        <v>16.54</v>
      </c>
      <c r="F19" s="833">
        <f>'1461'!F19:G19</f>
        <v>0.97799999999999998</v>
      </c>
      <c r="G19" s="833"/>
      <c r="H19" s="80">
        <f t="shared" si="2"/>
        <v>16.176100000000002</v>
      </c>
      <c r="I19" s="101">
        <f t="shared" si="3"/>
        <v>89752.83</v>
      </c>
      <c r="J19" s="65" t="str">
        <f>IF(ROUND(E19,2)=ROUND(SUM(E63:E65),2)," ","CHECK 4-8 LINES BELOW")</f>
        <v xml:space="preserve"> </v>
      </c>
      <c r="N19" s="834" t="s">
        <v>25</v>
      </c>
      <c r="O19" s="834"/>
      <c r="P19" s="831">
        <f t="shared" si="0"/>
        <v>0</v>
      </c>
      <c r="Q19" s="831"/>
      <c r="R19" s="835">
        <v>1</v>
      </c>
      <c r="S19" s="835"/>
      <c r="T19" s="95">
        <f t="shared" si="4"/>
        <v>0</v>
      </c>
      <c r="U19" s="523">
        <f t="shared" si="5"/>
        <v>0</v>
      </c>
    </row>
    <row r="20" spans="1:21" x14ac:dyDescent="0.25">
      <c r="A20" s="788" t="s">
        <v>79</v>
      </c>
      <c r="B20" s="788"/>
      <c r="C20" s="143">
        <v>0</v>
      </c>
      <c r="D20" s="143">
        <v>0</v>
      </c>
      <c r="E20" s="116">
        <f t="shared" si="1"/>
        <v>0</v>
      </c>
      <c r="F20" s="833">
        <f>'1461'!F20:G20</f>
        <v>3.6970000000000001</v>
      </c>
      <c r="G20" s="833"/>
      <c r="H20" s="80">
        <f t="shared" si="2"/>
        <v>0</v>
      </c>
      <c r="I20" s="101">
        <f t="shared" si="3"/>
        <v>0</v>
      </c>
      <c r="N20" s="834" t="s">
        <v>79</v>
      </c>
      <c r="O20" s="834"/>
      <c r="P20" s="831">
        <f t="shared" si="0"/>
        <v>0</v>
      </c>
      <c r="Q20" s="831"/>
      <c r="R20" s="835">
        <v>1</v>
      </c>
      <c r="S20" s="835"/>
      <c r="T20" s="95">
        <f t="shared" si="4"/>
        <v>0</v>
      </c>
      <c r="U20" s="524">
        <f t="shared" si="5"/>
        <v>0</v>
      </c>
    </row>
    <row r="21" spans="1:21" x14ac:dyDescent="0.25">
      <c r="A21" s="788" t="s">
        <v>80</v>
      </c>
      <c r="B21" s="788"/>
      <c r="C21" s="143">
        <v>0</v>
      </c>
      <c r="D21" s="143">
        <v>0</v>
      </c>
      <c r="E21" s="116">
        <f t="shared" si="1"/>
        <v>0</v>
      </c>
      <c r="F21" s="833">
        <f>'1461'!F21:G21</f>
        <v>3.6970000000000001</v>
      </c>
      <c r="G21" s="833"/>
      <c r="H21" s="80">
        <f t="shared" si="2"/>
        <v>0</v>
      </c>
      <c r="I21" s="101">
        <f t="shared" si="3"/>
        <v>0</v>
      </c>
      <c r="N21" s="834" t="s">
        <v>80</v>
      </c>
      <c r="O21" s="834"/>
      <c r="P21" s="831">
        <f t="shared" si="0"/>
        <v>0</v>
      </c>
      <c r="Q21" s="831"/>
      <c r="R21" s="835">
        <v>1</v>
      </c>
      <c r="S21" s="835"/>
      <c r="T21" s="95">
        <f t="shared" si="4"/>
        <v>0</v>
      </c>
      <c r="U21" s="524">
        <f t="shared" si="5"/>
        <v>0</v>
      </c>
    </row>
    <row r="22" spans="1:21" x14ac:dyDescent="0.25">
      <c r="A22" s="788" t="s">
        <v>81</v>
      </c>
      <c r="B22" s="788"/>
      <c r="C22" s="143">
        <v>0</v>
      </c>
      <c r="D22" s="143">
        <v>0</v>
      </c>
      <c r="E22" s="116">
        <f t="shared" si="1"/>
        <v>0</v>
      </c>
      <c r="F22" s="833">
        <f>'1461'!F22:G22</f>
        <v>3.6970000000000001</v>
      </c>
      <c r="G22" s="833"/>
      <c r="H22" s="80">
        <f t="shared" si="2"/>
        <v>0</v>
      </c>
      <c r="I22" s="101">
        <f t="shared" si="3"/>
        <v>0</v>
      </c>
      <c r="N22" s="834" t="s">
        <v>81</v>
      </c>
      <c r="O22" s="834"/>
      <c r="P22" s="831">
        <f t="shared" si="0"/>
        <v>0</v>
      </c>
      <c r="Q22" s="831"/>
      <c r="R22" s="835">
        <v>1</v>
      </c>
      <c r="S22" s="835"/>
      <c r="T22" s="95">
        <f t="shared" si="4"/>
        <v>0</v>
      </c>
      <c r="U22" s="524">
        <f t="shared" si="5"/>
        <v>0</v>
      </c>
    </row>
    <row r="23" spans="1:21" x14ac:dyDescent="0.25">
      <c r="A23" s="788" t="s">
        <v>82</v>
      </c>
      <c r="B23" s="788"/>
      <c r="C23" s="143">
        <v>0</v>
      </c>
      <c r="D23" s="143">
        <v>0</v>
      </c>
      <c r="E23" s="116">
        <f t="shared" si="1"/>
        <v>0</v>
      </c>
      <c r="F23" s="833">
        <f>'1461'!F23:G23</f>
        <v>5.992</v>
      </c>
      <c r="G23" s="833"/>
      <c r="H23" s="80">
        <f t="shared" si="2"/>
        <v>0</v>
      </c>
      <c r="I23" s="101">
        <f t="shared" si="3"/>
        <v>0</v>
      </c>
      <c r="N23" s="834" t="s">
        <v>82</v>
      </c>
      <c r="O23" s="834"/>
      <c r="P23" s="831">
        <f t="shared" si="0"/>
        <v>0</v>
      </c>
      <c r="Q23" s="831"/>
      <c r="R23" s="835">
        <v>1</v>
      </c>
      <c r="S23" s="835"/>
      <c r="T23" s="95">
        <f t="shared" si="4"/>
        <v>0</v>
      </c>
      <c r="U23" s="524">
        <f t="shared" si="5"/>
        <v>0</v>
      </c>
    </row>
    <row r="24" spans="1:21" x14ac:dyDescent="0.25">
      <c r="A24" s="788" t="s">
        <v>83</v>
      </c>
      <c r="B24" s="788"/>
      <c r="C24" s="143">
        <v>0</v>
      </c>
      <c r="D24" s="143">
        <v>0</v>
      </c>
      <c r="E24" s="116">
        <f t="shared" si="1"/>
        <v>0</v>
      </c>
      <c r="F24" s="833">
        <f>'1461'!F24:G24</f>
        <v>5.992</v>
      </c>
      <c r="G24" s="833"/>
      <c r="H24" s="80">
        <f t="shared" si="2"/>
        <v>0</v>
      </c>
      <c r="I24" s="101">
        <f t="shared" si="3"/>
        <v>0</v>
      </c>
      <c r="N24" s="834" t="s">
        <v>83</v>
      </c>
      <c r="O24" s="834"/>
      <c r="P24" s="831">
        <f t="shared" si="0"/>
        <v>0</v>
      </c>
      <c r="Q24" s="831"/>
      <c r="R24" s="835">
        <v>1</v>
      </c>
      <c r="S24" s="835"/>
      <c r="T24" s="95">
        <f t="shared" si="4"/>
        <v>0</v>
      </c>
      <c r="U24" s="524">
        <f t="shared" si="5"/>
        <v>0</v>
      </c>
    </row>
    <row r="25" spans="1:21" x14ac:dyDescent="0.25">
      <c r="A25" s="788" t="s">
        <v>84</v>
      </c>
      <c r="B25" s="788"/>
      <c r="C25" s="143">
        <v>0</v>
      </c>
      <c r="D25" s="143">
        <v>0</v>
      </c>
      <c r="E25" s="116">
        <f t="shared" si="1"/>
        <v>0</v>
      </c>
      <c r="F25" s="833">
        <f>'1461'!F25:G25</f>
        <v>5.992</v>
      </c>
      <c r="G25" s="833"/>
      <c r="H25" s="80">
        <f t="shared" si="2"/>
        <v>0</v>
      </c>
      <c r="I25" s="101">
        <f t="shared" si="3"/>
        <v>0</v>
      </c>
      <c r="N25" s="834" t="s">
        <v>84</v>
      </c>
      <c r="O25" s="834"/>
      <c r="P25" s="831">
        <f t="shared" si="0"/>
        <v>0</v>
      </c>
      <c r="Q25" s="831"/>
      <c r="R25" s="835">
        <v>1</v>
      </c>
      <c r="S25" s="835"/>
      <c r="T25" s="95">
        <f t="shared" si="4"/>
        <v>0</v>
      </c>
      <c r="U25" s="524">
        <f t="shared" si="5"/>
        <v>0</v>
      </c>
    </row>
    <row r="26" spans="1:21" x14ac:dyDescent="0.25">
      <c r="A26" s="788" t="s">
        <v>85</v>
      </c>
      <c r="B26" s="788"/>
      <c r="C26" s="143">
        <v>0</v>
      </c>
      <c r="D26" s="143">
        <v>0</v>
      </c>
      <c r="E26" s="116">
        <f t="shared" si="1"/>
        <v>0</v>
      </c>
      <c r="F26" s="833">
        <f>'1461'!F26:G26</f>
        <v>1.1919999999999999</v>
      </c>
      <c r="G26" s="833"/>
      <c r="H26" s="80">
        <f t="shared" si="2"/>
        <v>0</v>
      </c>
      <c r="I26" s="101">
        <f t="shared" si="3"/>
        <v>0</v>
      </c>
      <c r="N26" s="834" t="s">
        <v>85</v>
      </c>
      <c r="O26" s="834"/>
      <c r="P26" s="831">
        <f t="shared" si="0"/>
        <v>0</v>
      </c>
      <c r="Q26" s="831"/>
      <c r="R26" s="835">
        <v>1</v>
      </c>
      <c r="S26" s="835"/>
      <c r="T26" s="95">
        <f t="shared" si="4"/>
        <v>0</v>
      </c>
      <c r="U26" s="524">
        <f t="shared" si="5"/>
        <v>0</v>
      </c>
    </row>
    <row r="27" spans="1:21" x14ac:dyDescent="0.25">
      <c r="A27" s="788" t="s">
        <v>86</v>
      </c>
      <c r="B27" s="788"/>
      <c r="C27" s="143">
        <v>0</v>
      </c>
      <c r="D27" s="143">
        <v>0</v>
      </c>
      <c r="E27" s="116">
        <f t="shared" si="1"/>
        <v>0</v>
      </c>
      <c r="F27" s="833">
        <f>'1461'!F27:G27</f>
        <v>1.1919999999999999</v>
      </c>
      <c r="G27" s="833"/>
      <c r="H27" s="80">
        <f t="shared" si="2"/>
        <v>0</v>
      </c>
      <c r="I27" s="101">
        <f t="shared" si="3"/>
        <v>0</v>
      </c>
      <c r="N27" s="834" t="s">
        <v>86</v>
      </c>
      <c r="O27" s="834"/>
      <c r="P27" s="831">
        <f t="shared" si="0"/>
        <v>0</v>
      </c>
      <c r="Q27" s="831"/>
      <c r="R27" s="835">
        <v>1</v>
      </c>
      <c r="S27" s="835"/>
      <c r="T27" s="95">
        <f t="shared" si="4"/>
        <v>0</v>
      </c>
      <c r="U27" s="524">
        <f t="shared" si="5"/>
        <v>0</v>
      </c>
    </row>
    <row r="28" spans="1:21" x14ac:dyDescent="0.25">
      <c r="A28" s="788" t="s">
        <v>87</v>
      </c>
      <c r="B28" s="788"/>
      <c r="C28" s="143">
        <v>4.28</v>
      </c>
      <c r="D28" s="143">
        <v>0</v>
      </c>
      <c r="E28" s="116">
        <f t="shared" si="1"/>
        <v>8.56</v>
      </c>
      <c r="F28" s="833">
        <f>'1461'!F28:G28</f>
        <v>1.1919999999999999</v>
      </c>
      <c r="G28" s="833"/>
      <c r="H28" s="80">
        <f t="shared" si="2"/>
        <v>10.2035</v>
      </c>
      <c r="I28" s="101">
        <f t="shared" si="3"/>
        <v>56613.96</v>
      </c>
      <c r="N28" s="834" t="s">
        <v>87</v>
      </c>
      <c r="O28" s="834"/>
      <c r="P28" s="831">
        <f t="shared" si="0"/>
        <v>0</v>
      </c>
      <c r="Q28" s="831"/>
      <c r="R28" s="835">
        <v>1</v>
      </c>
      <c r="S28" s="835"/>
      <c r="T28" s="95">
        <f t="shared" si="4"/>
        <v>0</v>
      </c>
      <c r="U28" s="524">
        <f t="shared" si="5"/>
        <v>0</v>
      </c>
    </row>
    <row r="29" spans="1:21" x14ac:dyDescent="0.25">
      <c r="A29" s="788" t="s">
        <v>88</v>
      </c>
      <c r="B29" s="788"/>
      <c r="C29" s="110">
        <v>3.37</v>
      </c>
      <c r="D29" s="110">
        <v>0</v>
      </c>
      <c r="E29" s="154">
        <f t="shared" si="1"/>
        <v>6.74</v>
      </c>
      <c r="F29" s="833">
        <f>'1461'!F29:G29</f>
        <v>1.079</v>
      </c>
      <c r="G29" s="833"/>
      <c r="H29" s="93">
        <f t="shared" si="2"/>
        <v>7.2725</v>
      </c>
      <c r="I29" s="94">
        <f t="shared" si="3"/>
        <v>40351.35</v>
      </c>
      <c r="N29" s="836" t="s">
        <v>88</v>
      </c>
      <c r="O29" s="836"/>
      <c r="P29" s="831">
        <f t="shared" si="0"/>
        <v>0</v>
      </c>
      <c r="Q29" s="831"/>
      <c r="R29" s="837">
        <v>1</v>
      </c>
      <c r="S29" s="837"/>
      <c r="T29" s="95">
        <f t="shared" si="4"/>
        <v>0</v>
      </c>
      <c r="U29" s="524">
        <f t="shared" si="5"/>
        <v>0</v>
      </c>
    </row>
    <row r="30" spans="1:21" x14ac:dyDescent="0.25">
      <c r="A30" s="800" t="s">
        <v>5</v>
      </c>
      <c r="B30" s="800"/>
      <c r="C30" s="94">
        <f>SUM(C14:C29)</f>
        <v>51.51</v>
      </c>
      <c r="D30" s="94">
        <f>SUM(D14:D29)</f>
        <v>0</v>
      </c>
      <c r="E30" s="94">
        <f>SUM(E14:E29)</f>
        <v>103.02</v>
      </c>
      <c r="F30" s="792"/>
      <c r="G30" s="792"/>
      <c r="H30" s="99">
        <f>SUM(H14:H29)</f>
        <v>103.26610000000001</v>
      </c>
      <c r="I30" s="94">
        <f>SUM(I14:I29)</f>
        <v>572970.29999999993</v>
      </c>
      <c r="N30" s="838" t="s">
        <v>5</v>
      </c>
      <c r="O30" s="838"/>
      <c r="P30" s="839">
        <f>SUM(P14:P29)</f>
        <v>0</v>
      </c>
      <c r="Q30" s="839"/>
      <c r="R30" s="840"/>
      <c r="S30" s="840"/>
      <c r="T30" s="100">
        <f>SUM(T14:T29)</f>
        <v>0</v>
      </c>
      <c r="U30" s="52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80" t="s">
        <v>232</v>
      </c>
      <c r="G34" s="880"/>
      <c r="H34" s="880"/>
      <c r="I34" s="101"/>
      <c r="N34" s="28"/>
      <c r="O34" s="28"/>
      <c r="P34" s="29"/>
      <c r="Q34" s="29"/>
      <c r="R34" s="30"/>
      <c r="S34" s="30"/>
      <c r="T34" s="102"/>
      <c r="U34" s="103"/>
    </row>
    <row r="35" spans="1:21" hidden="1" x14ac:dyDescent="0.25">
      <c r="A35" s="3"/>
      <c r="B35" s="69"/>
      <c r="C35" s="69"/>
      <c r="D35" s="69"/>
      <c r="E35" s="69"/>
      <c r="F35" s="880"/>
      <c r="G35" s="880"/>
      <c r="H35" s="880"/>
      <c r="I35" s="24" t="s">
        <v>61</v>
      </c>
      <c r="N35" s="813" t="s">
        <v>26</v>
      </c>
      <c r="O35" s="813"/>
      <c r="P35" s="813"/>
      <c r="Q35" s="813"/>
      <c r="R35" s="813"/>
      <c r="S35" s="813"/>
      <c r="T35" s="813"/>
      <c r="U35" s="25" t="str">
        <f>I35</f>
        <v>2015-16</v>
      </c>
    </row>
    <row r="36" spans="1:21" hidden="1" x14ac:dyDescent="0.25">
      <c r="A36" s="26"/>
      <c r="B36" s="26"/>
      <c r="C36" s="88" t="s">
        <v>93</v>
      </c>
      <c r="D36" s="88" t="s">
        <v>94</v>
      </c>
      <c r="E36" s="89" t="s">
        <v>8</v>
      </c>
      <c r="F36" s="880"/>
      <c r="G36" s="880"/>
      <c r="H36" s="880"/>
      <c r="I36" s="24" t="s">
        <v>27</v>
      </c>
      <c r="N36" s="28"/>
      <c r="O36" s="28"/>
      <c r="P36" s="29"/>
      <c r="Q36" s="29"/>
      <c r="R36" s="30"/>
      <c r="S36" s="30"/>
      <c r="T36" s="102"/>
      <c r="U36" s="25" t="s">
        <v>27</v>
      </c>
    </row>
    <row r="37" spans="1:21" ht="26.25" hidden="1" x14ac:dyDescent="0.25">
      <c r="A37" s="782" t="s">
        <v>50</v>
      </c>
      <c r="B37" s="782"/>
      <c r="C37" s="90" t="s">
        <v>2</v>
      </c>
      <c r="D37" s="90" t="s">
        <v>2</v>
      </c>
      <c r="E37" s="90" t="s">
        <v>2</v>
      </c>
      <c r="F37" s="881"/>
      <c r="G37" s="881"/>
      <c r="H37" s="881"/>
      <c r="I37" s="31" t="s">
        <v>457</v>
      </c>
      <c r="N37" s="818" t="s">
        <v>50</v>
      </c>
      <c r="O37" s="818"/>
      <c r="P37" s="845" t="s">
        <v>19</v>
      </c>
      <c r="Q37" s="845"/>
      <c r="R37" s="845"/>
      <c r="S37" s="845"/>
      <c r="T37" s="845"/>
      <c r="U37" s="19" t="str">
        <f>I37</f>
        <v>(WFTE x BSA x CWF x SDF)</v>
      </c>
    </row>
    <row r="38" spans="1:21" hidden="1" x14ac:dyDescent="0.25">
      <c r="A38" s="786" t="s">
        <v>45</v>
      </c>
      <c r="B38" s="786"/>
      <c r="C38" s="147">
        <v>0</v>
      </c>
      <c r="D38" s="147">
        <v>0</v>
      </c>
      <c r="E38" s="187">
        <f t="shared" ref="E38:E43" si="6">IF(D$44=0,C38*2,C38+D38)</f>
        <v>0</v>
      </c>
      <c r="F38" s="148"/>
      <c r="G38" s="148"/>
      <c r="H38" s="148"/>
      <c r="I38" s="111">
        <f>ROUND(ROUND(ROUND(E38*$C$8,4)*($H$8),2)*(MAX($H$9,1)),2)</f>
        <v>0</v>
      </c>
      <c r="N38" s="830" t="s">
        <v>45</v>
      </c>
      <c r="O38" s="830"/>
      <c r="P38" s="841">
        <f t="shared" ref="P38:P43" si="7">IF($H$133=1,E38,0)</f>
        <v>0</v>
      </c>
      <c r="Q38" s="841"/>
      <c r="R38" s="841"/>
      <c r="S38" s="841"/>
      <c r="T38" s="841"/>
      <c r="U38" s="98">
        <f>ROUND(ROUND(ROUND(P38*$C$8,4)*($H$8),2)*(MAX($H$9,1)),2)</f>
        <v>0</v>
      </c>
    </row>
    <row r="39" spans="1:21" hidden="1" x14ac:dyDescent="0.25">
      <c r="A39" s="788" t="s">
        <v>46</v>
      </c>
      <c r="B39" s="788"/>
      <c r="C39" s="150">
        <v>0</v>
      </c>
      <c r="D39" s="150">
        <v>0</v>
      </c>
      <c r="E39" s="116">
        <f t="shared" si="6"/>
        <v>0</v>
      </c>
      <c r="F39" s="151"/>
      <c r="G39" s="151"/>
      <c r="H39" s="151"/>
      <c r="I39" s="101">
        <f t="shared" ref="I39:I43" si="8">ROUND(ROUND(ROUND(E39*$C$8,4)*($H$8),2)*(MAX($H$9,1)),2)</f>
        <v>0</v>
      </c>
      <c r="N39" s="834" t="s">
        <v>46</v>
      </c>
      <c r="O39" s="834"/>
      <c r="P39" s="841">
        <f t="shared" si="7"/>
        <v>0</v>
      </c>
      <c r="Q39" s="841"/>
      <c r="R39" s="841"/>
      <c r="S39" s="841"/>
      <c r="T39" s="841"/>
      <c r="U39" s="98">
        <f t="shared" ref="U39:U43" si="9">ROUND(ROUND(ROUND(P39*$C$8,4)*($H$8),2)*(MAX($H$9,1)),2)</f>
        <v>0</v>
      </c>
    </row>
    <row r="40" spans="1:21" hidden="1" x14ac:dyDescent="0.25">
      <c r="A40" s="793" t="s">
        <v>47</v>
      </c>
      <c r="B40" s="793"/>
      <c r="C40" s="150">
        <v>0</v>
      </c>
      <c r="D40" s="150">
        <v>0</v>
      </c>
      <c r="E40" s="116">
        <f t="shared" si="6"/>
        <v>0</v>
      </c>
      <c r="F40" s="151"/>
      <c r="G40" s="151"/>
      <c r="H40" s="151"/>
      <c r="I40" s="101">
        <f t="shared" si="8"/>
        <v>0</v>
      </c>
      <c r="N40" s="842" t="s">
        <v>47</v>
      </c>
      <c r="O40" s="842"/>
      <c r="P40" s="841">
        <f t="shared" si="7"/>
        <v>0</v>
      </c>
      <c r="Q40" s="841"/>
      <c r="R40" s="841"/>
      <c r="S40" s="841"/>
      <c r="T40" s="841"/>
      <c r="U40" s="98">
        <f t="shared" si="9"/>
        <v>0</v>
      </c>
    </row>
    <row r="41" spans="1:21" hidden="1" x14ac:dyDescent="0.25">
      <c r="A41" s="788" t="s">
        <v>48</v>
      </c>
      <c r="B41" s="788"/>
      <c r="C41" s="150">
        <v>0</v>
      </c>
      <c r="D41" s="150">
        <v>0</v>
      </c>
      <c r="E41" s="116">
        <f t="shared" si="6"/>
        <v>0</v>
      </c>
      <c r="F41" s="151"/>
      <c r="G41" s="151"/>
      <c r="H41" s="151"/>
      <c r="I41" s="101">
        <f t="shared" si="8"/>
        <v>0</v>
      </c>
      <c r="N41" s="834" t="s">
        <v>48</v>
      </c>
      <c r="O41" s="834"/>
      <c r="P41" s="841">
        <f t="shared" si="7"/>
        <v>0</v>
      </c>
      <c r="Q41" s="841"/>
      <c r="R41" s="841"/>
      <c r="S41" s="841"/>
      <c r="T41" s="841"/>
      <c r="U41" s="98">
        <f t="shared" si="9"/>
        <v>0</v>
      </c>
    </row>
    <row r="42" spans="1:21" hidden="1" x14ac:dyDescent="0.25">
      <c r="A42" s="788" t="s">
        <v>49</v>
      </c>
      <c r="B42" s="788"/>
      <c r="C42" s="150">
        <v>0</v>
      </c>
      <c r="D42" s="150">
        <v>0</v>
      </c>
      <c r="E42" s="116">
        <f t="shared" si="6"/>
        <v>0</v>
      </c>
      <c r="F42" s="151"/>
      <c r="G42" s="151"/>
      <c r="H42" s="151"/>
      <c r="I42" s="101">
        <f t="shared" si="8"/>
        <v>0</v>
      </c>
      <c r="N42" s="834" t="s">
        <v>49</v>
      </c>
      <c r="O42" s="834"/>
      <c r="P42" s="841">
        <f t="shared" si="7"/>
        <v>0</v>
      </c>
      <c r="Q42" s="841"/>
      <c r="R42" s="841"/>
      <c r="S42" s="841"/>
      <c r="T42" s="841"/>
      <c r="U42" s="98">
        <f t="shared" si="9"/>
        <v>0</v>
      </c>
    </row>
    <row r="43" spans="1:21" hidden="1" x14ac:dyDescent="0.25">
      <c r="A43" s="788" t="s">
        <v>41</v>
      </c>
      <c r="B43" s="788"/>
      <c r="C43" s="149">
        <v>0</v>
      </c>
      <c r="D43" s="149">
        <v>0</v>
      </c>
      <c r="E43" s="154">
        <f t="shared" si="6"/>
        <v>0</v>
      </c>
      <c r="F43" s="151"/>
      <c r="G43" s="151"/>
      <c r="H43" s="151"/>
      <c r="I43" s="94">
        <f t="shared" si="8"/>
        <v>0</v>
      </c>
      <c r="N43" s="836" t="s">
        <v>41</v>
      </c>
      <c r="O43" s="836"/>
      <c r="P43" s="841">
        <f t="shared" si="7"/>
        <v>0</v>
      </c>
      <c r="Q43" s="841"/>
      <c r="R43" s="841"/>
      <c r="S43" s="841"/>
      <c r="T43" s="841"/>
      <c r="U43" s="98">
        <f t="shared" si="9"/>
        <v>0</v>
      </c>
    </row>
    <row r="44" spans="1:21" hidden="1" x14ac:dyDescent="0.25">
      <c r="A44" s="3"/>
      <c r="B44" s="52" t="s">
        <v>95</v>
      </c>
      <c r="C44" s="97">
        <f>SUM(C38:C43)</f>
        <v>0</v>
      </c>
      <c r="D44" s="97">
        <f>SUM(D38:D43)</f>
        <v>0</v>
      </c>
      <c r="E44" s="97">
        <f>SUM(E38:E43)</f>
        <v>0</v>
      </c>
      <c r="F44" s="32"/>
      <c r="G44" s="106"/>
      <c r="H44" s="107" t="s">
        <v>97</v>
      </c>
      <c r="I44" s="97">
        <f>SUM(I38:I43)</f>
        <v>0</v>
      </c>
      <c r="N44" s="846" t="s">
        <v>43</v>
      </c>
      <c r="O44" s="846"/>
      <c r="P44" s="846"/>
      <c r="Q44" s="846"/>
      <c r="R44" s="33">
        <f>SUM(P38:R43)</f>
        <v>0</v>
      </c>
      <c r="S44" s="840" t="s">
        <v>51</v>
      </c>
      <c r="T44" s="840"/>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103.26610000000001</v>
      </c>
      <c r="F46" s="34"/>
      <c r="G46" s="106"/>
      <c r="H46" s="107" t="s">
        <v>98</v>
      </c>
      <c r="I46" s="94">
        <f>SUM(I44,I30)</f>
        <v>572970.29999999993</v>
      </c>
      <c r="N46" s="846" t="s">
        <v>44</v>
      </c>
      <c r="O46" s="846"/>
      <c r="P46" s="846"/>
      <c r="Q46" s="846"/>
      <c r="R46" s="35">
        <f>R44+T30</f>
        <v>0</v>
      </c>
      <c r="S46" s="840" t="s">
        <v>42</v>
      </c>
      <c r="T46" s="840"/>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458</v>
      </c>
      <c r="B48" s="26"/>
      <c r="C48" s="26"/>
      <c r="D48" s="26"/>
      <c r="E48" s="26"/>
      <c r="F48" s="34"/>
      <c r="G48" s="27"/>
      <c r="H48" s="27"/>
      <c r="I48" s="101"/>
      <c r="N48" s="435" t="s">
        <v>458</v>
      </c>
      <c r="O48" s="28"/>
      <c r="P48" s="28"/>
      <c r="Q48" s="28"/>
      <c r="R48" s="35"/>
      <c r="S48" s="30"/>
      <c r="T48" s="30"/>
      <c r="U48" s="454"/>
    </row>
    <row r="49" spans="1:22" s="443" customFormat="1" ht="9" customHeight="1" x14ac:dyDescent="0.2">
      <c r="A49" s="532" t="s">
        <v>459</v>
      </c>
      <c r="F49" s="444"/>
      <c r="G49" s="445"/>
      <c r="H49" s="445"/>
      <c r="I49" s="446"/>
      <c r="N49" s="455" t="s">
        <v>459</v>
      </c>
      <c r="O49" s="447"/>
      <c r="P49" s="447"/>
      <c r="Q49" s="447"/>
      <c r="R49" s="448"/>
      <c r="S49" s="449"/>
      <c r="T49" s="449"/>
      <c r="U49" s="456"/>
    </row>
    <row r="50" spans="1:22" s="443" customFormat="1" ht="11.25" customHeight="1" x14ac:dyDescent="0.2">
      <c r="A50" s="534" t="s">
        <v>460</v>
      </c>
      <c r="F50" s="444"/>
      <c r="G50" s="445"/>
      <c r="H50" s="445"/>
      <c r="I50" s="446"/>
      <c r="N50" s="457" t="s">
        <v>460</v>
      </c>
      <c r="O50" s="447"/>
      <c r="P50" s="447"/>
      <c r="Q50" s="447"/>
      <c r="R50" s="448"/>
      <c r="S50" s="449"/>
      <c r="T50" s="449"/>
      <c r="U50" s="456"/>
    </row>
    <row r="51" spans="1:22" x14ac:dyDescent="0.25">
      <c r="A51" s="441"/>
      <c r="B51" s="451" t="s">
        <v>577</v>
      </c>
      <c r="C51" s="26"/>
      <c r="D51" s="26"/>
      <c r="E51" s="43" t="s">
        <v>461</v>
      </c>
      <c r="F51" s="452">
        <v>385027.05</v>
      </c>
      <c r="G51" s="109" t="s">
        <v>6</v>
      </c>
      <c r="H51" s="453">
        <v>5.5899999999999998E-2</v>
      </c>
      <c r="I51" s="101">
        <f>ROUND(F51*H51,2)</f>
        <v>21523.01</v>
      </c>
      <c r="N51" s="458"/>
      <c r="O51" s="459" t="s">
        <v>576</v>
      </c>
      <c r="P51" s="28"/>
      <c r="Q51" s="44" t="s">
        <v>461</v>
      </c>
      <c r="R51" s="460">
        <f>U30</f>
        <v>0</v>
      </c>
      <c r="S51" s="461" t="s">
        <v>6</v>
      </c>
      <c r="T51" s="462">
        <v>5.5899999999999998E-2</v>
      </c>
      <c r="U51" s="454">
        <f>ROUND(R51*T51,2)</f>
        <v>0</v>
      </c>
    </row>
    <row r="52" spans="1:22" x14ac:dyDescent="0.25">
      <c r="A52" s="26"/>
      <c r="B52" s="618" t="s">
        <v>580</v>
      </c>
      <c r="C52" s="26"/>
      <c r="D52" s="26"/>
      <c r="E52" s="43" t="s">
        <v>461</v>
      </c>
      <c r="F52" s="452">
        <v>385027.05</v>
      </c>
      <c r="G52" s="109" t="s">
        <v>6</v>
      </c>
      <c r="H52" s="453">
        <v>1.0699999999999999E-2</v>
      </c>
      <c r="I52" s="101">
        <f>ROUND(F52*H52,2)</f>
        <v>4119.79</v>
      </c>
      <c r="N52" s="28"/>
      <c r="O52" s="619" t="s">
        <v>579</v>
      </c>
      <c r="P52" s="28"/>
      <c r="Q52" s="44" t="s">
        <v>461</v>
      </c>
      <c r="R52" s="460">
        <f>U30</f>
        <v>0</v>
      </c>
      <c r="S52" s="461" t="s">
        <v>6</v>
      </c>
      <c r="T52" s="462">
        <v>1.0699999999999999E-2</v>
      </c>
      <c r="U52" s="463">
        <f>ROUND(R52*T52,2)</f>
        <v>0</v>
      </c>
    </row>
    <row r="53" spans="1:22" x14ac:dyDescent="0.25">
      <c r="A53" s="26"/>
      <c r="B53" s="81" t="s">
        <v>462</v>
      </c>
      <c r="C53" s="26"/>
      <c r="D53" s="26"/>
      <c r="E53" s="43"/>
      <c r="F53" s="452"/>
      <c r="G53" s="109"/>
      <c r="H53" s="453"/>
      <c r="I53" s="97">
        <f>SUM(I51:I52)</f>
        <v>25642.799999999999</v>
      </c>
      <c r="N53" s="28"/>
      <c r="O53" s="435" t="s">
        <v>462</v>
      </c>
      <c r="P53" s="28"/>
      <c r="Q53" s="44"/>
      <c r="R53" s="460"/>
      <c r="S53" s="461"/>
      <c r="T53" s="462"/>
      <c r="U53" s="454">
        <f>SUM(U51:U52)</f>
        <v>0</v>
      </c>
    </row>
    <row r="54" spans="1:22" x14ac:dyDescent="0.25">
      <c r="C54" s="3" t="str">
        <f>'1461'!C54</f>
        <v/>
      </c>
      <c r="D54" s="3" t="str">
        <f>'1461'!D54</f>
        <v/>
      </c>
      <c r="G54" s="42"/>
      <c r="H54" s="114"/>
      <c r="I54" s="114"/>
      <c r="N54" s="497"/>
      <c r="O54" s="51"/>
      <c r="P54" s="51" t="str">
        <f>'1461'!P54</f>
        <v/>
      </c>
      <c r="Q54" s="51" t="str">
        <f>'1461'!Q54</f>
        <v/>
      </c>
      <c r="R54" s="51"/>
      <c r="S54" s="51"/>
      <c r="T54" s="513"/>
      <c r="U54" s="514"/>
      <c r="V54" s="114"/>
    </row>
    <row r="55" spans="1:22" x14ac:dyDescent="0.25">
      <c r="A55" s="496"/>
      <c r="B55" s="496"/>
      <c r="C55" s="88" t="str">
        <f>'1461'!C55</f>
        <v>Oct 2024</v>
      </c>
      <c r="D55" s="349" t="str">
        <f>'1461'!D55</f>
        <v>Feb 2025</v>
      </c>
      <c r="E55" s="89" t="s">
        <v>8</v>
      </c>
      <c r="F55" s="46" t="s">
        <v>499</v>
      </c>
      <c r="G55" s="109" t="s">
        <v>500</v>
      </c>
      <c r="H55" s="505" t="s">
        <v>501</v>
      </c>
      <c r="I55" s="101"/>
      <c r="N55" s="499"/>
      <c r="O55" s="499"/>
      <c r="P55" s="515"/>
      <c r="Q55" s="516"/>
      <c r="R55" s="517"/>
      <c r="S55" s="519" t="s">
        <v>500</v>
      </c>
      <c r="T55" s="520" t="s">
        <v>501</v>
      </c>
      <c r="U55" s="518"/>
      <c r="V55" s="475"/>
    </row>
    <row r="56" spans="1:22" x14ac:dyDescent="0.25">
      <c r="A56" s="36" t="s">
        <v>502</v>
      </c>
      <c r="B56" s="36"/>
      <c r="C56" s="340" t="str">
        <f>'1461'!C56</f>
        <v>FTE</v>
      </c>
      <c r="D56" s="340" t="str">
        <f>'1461'!D56</f>
        <v>FTE</v>
      </c>
      <c r="E56" s="90" t="s">
        <v>2</v>
      </c>
      <c r="F56" s="490" t="s">
        <v>503</v>
      </c>
      <c r="G56" s="492" t="s">
        <v>503</v>
      </c>
      <c r="H56" s="506" t="s">
        <v>504</v>
      </c>
      <c r="I56" s="36"/>
      <c r="N56" s="510" t="s">
        <v>502</v>
      </c>
      <c r="O56" s="510"/>
      <c r="P56" s="847" t="s">
        <v>2</v>
      </c>
      <c r="Q56" s="847"/>
      <c r="R56" s="510" t="s">
        <v>508</v>
      </c>
      <c r="S56" s="501" t="s">
        <v>503</v>
      </c>
      <c r="T56" s="521" t="s">
        <v>504</v>
      </c>
      <c r="U56" s="510"/>
      <c r="V56" s="509"/>
    </row>
    <row r="57" spans="1:22" x14ac:dyDescent="0.25">
      <c r="A57" s="798" t="s">
        <v>506</v>
      </c>
      <c r="B57" s="798"/>
      <c r="C57" s="143">
        <v>0</v>
      </c>
      <c r="D57" s="143">
        <v>0</v>
      </c>
      <c r="E57" s="116">
        <f t="shared" ref="E57:E65" si="10">IF(D$66=0,C57*2,C57+D57)</f>
        <v>0</v>
      </c>
      <c r="F57" s="494" t="s">
        <v>498</v>
      </c>
      <c r="G57" s="494">
        <v>251</v>
      </c>
      <c r="H57" s="508">
        <f>'1461'!H57</f>
        <v>1047</v>
      </c>
      <c r="I57" s="101">
        <f>ROUND(E57*H57,2)</f>
        <v>0</v>
      </c>
      <c r="N57" s="848" t="s">
        <v>506</v>
      </c>
      <c r="O57" s="848"/>
      <c r="P57" s="850"/>
      <c r="Q57" s="850"/>
      <c r="R57" s="500" t="s">
        <v>498</v>
      </c>
      <c r="S57" s="500">
        <v>251</v>
      </c>
      <c r="T57" s="511">
        <f>H57</f>
        <v>1047</v>
      </c>
      <c r="U57" s="525">
        <f>ROUND(P57*T57,2)</f>
        <v>0</v>
      </c>
      <c r="V57" s="475"/>
    </row>
    <row r="58" spans="1:22" x14ac:dyDescent="0.25">
      <c r="A58" s="799"/>
      <c r="B58" s="799"/>
      <c r="C58" s="143">
        <v>0</v>
      </c>
      <c r="D58" s="143">
        <v>0</v>
      </c>
      <c r="E58" s="116">
        <f t="shared" si="10"/>
        <v>0</v>
      </c>
      <c r="F58" s="494" t="s">
        <v>498</v>
      </c>
      <c r="G58" s="494">
        <v>252</v>
      </c>
      <c r="H58" s="508">
        <f>'1461'!H58</f>
        <v>3380</v>
      </c>
      <c r="I58" s="101">
        <f t="shared" ref="I58:I65" si="11">ROUND(E58*H58,2)</f>
        <v>0</v>
      </c>
      <c r="N58" s="849"/>
      <c r="O58" s="849"/>
      <c r="P58" s="851"/>
      <c r="Q58" s="851"/>
      <c r="R58" s="500" t="s">
        <v>498</v>
      </c>
      <c r="S58" s="500">
        <v>252</v>
      </c>
      <c r="T58" s="511">
        <f t="shared" ref="T58:T65" si="12">H58</f>
        <v>3380</v>
      </c>
      <c r="U58" s="525">
        <f t="shared" ref="U58:U65" si="13">ROUND(P58*T58,2)</f>
        <v>0</v>
      </c>
      <c r="V58" s="475"/>
    </row>
    <row r="59" spans="1:22" x14ac:dyDescent="0.25">
      <c r="A59" s="799"/>
      <c r="B59" s="799"/>
      <c r="C59" s="143">
        <v>0</v>
      </c>
      <c r="D59" s="143">
        <v>0</v>
      </c>
      <c r="E59" s="116">
        <f t="shared" si="10"/>
        <v>0</v>
      </c>
      <c r="F59" s="494" t="s">
        <v>498</v>
      </c>
      <c r="G59" s="494">
        <v>253</v>
      </c>
      <c r="H59" s="508">
        <f>'1461'!H59</f>
        <v>6896</v>
      </c>
      <c r="I59" s="101">
        <f t="shared" si="11"/>
        <v>0</v>
      </c>
      <c r="N59" s="849"/>
      <c r="O59" s="849"/>
      <c r="P59" s="851"/>
      <c r="Q59" s="851"/>
      <c r="R59" s="500" t="s">
        <v>498</v>
      </c>
      <c r="S59" s="500">
        <v>253</v>
      </c>
      <c r="T59" s="511">
        <f t="shared" si="12"/>
        <v>6896</v>
      </c>
      <c r="U59" s="525">
        <f t="shared" si="13"/>
        <v>0</v>
      </c>
      <c r="V59" s="475"/>
    </row>
    <row r="60" spans="1:22" x14ac:dyDescent="0.25">
      <c r="A60" s="799"/>
      <c r="B60" s="799"/>
      <c r="C60" s="143">
        <v>0</v>
      </c>
      <c r="D60" s="143">
        <v>0</v>
      </c>
      <c r="E60" s="116">
        <f t="shared" si="10"/>
        <v>0</v>
      </c>
      <c r="F60" s="495" t="s">
        <v>13</v>
      </c>
      <c r="G60" s="494">
        <v>251</v>
      </c>
      <c r="H60" s="508">
        <f>'1461'!H60</f>
        <v>1173</v>
      </c>
      <c r="I60" s="101">
        <f t="shared" si="11"/>
        <v>0</v>
      </c>
      <c r="N60" s="849"/>
      <c r="O60" s="849"/>
      <c r="P60" s="851"/>
      <c r="Q60" s="851"/>
      <c r="R60" s="40" t="s">
        <v>13</v>
      </c>
      <c r="S60" s="500">
        <v>251</v>
      </c>
      <c r="T60" s="511">
        <f t="shared" si="12"/>
        <v>1173</v>
      </c>
      <c r="U60" s="525">
        <f t="shared" si="13"/>
        <v>0</v>
      </c>
      <c r="V60" s="475"/>
    </row>
    <row r="61" spans="1:22" x14ac:dyDescent="0.25">
      <c r="A61" s="799"/>
      <c r="B61" s="799"/>
      <c r="C61" s="143">
        <v>0</v>
      </c>
      <c r="D61" s="143">
        <v>0</v>
      </c>
      <c r="E61" s="116">
        <f t="shared" si="10"/>
        <v>0</v>
      </c>
      <c r="F61" s="495" t="s">
        <v>13</v>
      </c>
      <c r="G61" s="494">
        <v>252</v>
      </c>
      <c r="H61" s="508">
        <f>'1461'!H61</f>
        <v>3506</v>
      </c>
      <c r="I61" s="101">
        <f t="shared" si="11"/>
        <v>0</v>
      </c>
      <c r="N61" s="849"/>
      <c r="O61" s="849"/>
      <c r="P61" s="851"/>
      <c r="Q61" s="851"/>
      <c r="R61" s="40" t="s">
        <v>13</v>
      </c>
      <c r="S61" s="500">
        <v>252</v>
      </c>
      <c r="T61" s="511">
        <f t="shared" si="12"/>
        <v>3506</v>
      </c>
      <c r="U61" s="525">
        <f t="shared" si="13"/>
        <v>0</v>
      </c>
      <c r="V61" s="475"/>
    </row>
    <row r="62" spans="1:22" x14ac:dyDescent="0.25">
      <c r="A62" s="799"/>
      <c r="B62" s="799"/>
      <c r="C62" s="143">
        <v>0</v>
      </c>
      <c r="D62" s="143">
        <v>0</v>
      </c>
      <c r="E62" s="116">
        <f t="shared" si="10"/>
        <v>0</v>
      </c>
      <c r="F62" s="495" t="s">
        <v>13</v>
      </c>
      <c r="G62" s="494">
        <v>253</v>
      </c>
      <c r="H62" s="508">
        <f>'1461'!H62</f>
        <v>7023</v>
      </c>
      <c r="I62" s="101">
        <f t="shared" si="11"/>
        <v>0</v>
      </c>
      <c r="N62" s="849"/>
      <c r="O62" s="849"/>
      <c r="P62" s="851"/>
      <c r="Q62" s="851"/>
      <c r="R62" s="40" t="s">
        <v>13</v>
      </c>
      <c r="S62" s="500">
        <v>253</v>
      </c>
      <c r="T62" s="511">
        <f t="shared" si="12"/>
        <v>7023</v>
      </c>
      <c r="U62" s="525">
        <f t="shared" si="13"/>
        <v>0</v>
      </c>
      <c r="V62" s="475"/>
    </row>
    <row r="63" spans="1:22" x14ac:dyDescent="0.25">
      <c r="A63" s="799"/>
      <c r="B63" s="799"/>
      <c r="C63" s="143">
        <v>7.77</v>
      </c>
      <c r="D63" s="143">
        <v>0</v>
      </c>
      <c r="E63" s="116">
        <f t="shared" si="10"/>
        <v>15.54</v>
      </c>
      <c r="F63" s="495" t="s">
        <v>14</v>
      </c>
      <c r="G63" s="494">
        <v>251</v>
      </c>
      <c r="H63" s="508">
        <f>'1461'!H63</f>
        <v>835</v>
      </c>
      <c r="I63" s="101">
        <f t="shared" si="11"/>
        <v>12975.9</v>
      </c>
      <c r="N63" s="849"/>
      <c r="O63" s="849"/>
      <c r="P63" s="851"/>
      <c r="Q63" s="851"/>
      <c r="R63" s="40" t="s">
        <v>14</v>
      </c>
      <c r="S63" s="500">
        <v>251</v>
      </c>
      <c r="T63" s="511">
        <f t="shared" si="12"/>
        <v>835</v>
      </c>
      <c r="U63" s="525">
        <f t="shared" si="13"/>
        <v>0</v>
      </c>
      <c r="V63" s="475"/>
    </row>
    <row r="64" spans="1:22" x14ac:dyDescent="0.25">
      <c r="A64" s="799"/>
      <c r="B64" s="799"/>
      <c r="C64" s="143">
        <v>0.5</v>
      </c>
      <c r="D64" s="143">
        <v>0</v>
      </c>
      <c r="E64" s="116">
        <f t="shared" si="10"/>
        <v>1</v>
      </c>
      <c r="F64" s="495" t="s">
        <v>14</v>
      </c>
      <c r="G64" s="494">
        <v>252</v>
      </c>
      <c r="H64" s="508">
        <f>'1461'!H64</f>
        <v>3168</v>
      </c>
      <c r="I64" s="101">
        <f t="shared" si="11"/>
        <v>3168</v>
      </c>
      <c r="N64" s="849"/>
      <c r="O64" s="849"/>
      <c r="P64" s="851"/>
      <c r="Q64" s="851"/>
      <c r="R64" s="40" t="s">
        <v>14</v>
      </c>
      <c r="S64" s="500">
        <v>252</v>
      </c>
      <c r="T64" s="511">
        <f t="shared" si="12"/>
        <v>3168</v>
      </c>
      <c r="U64" s="525">
        <f t="shared" si="13"/>
        <v>0</v>
      </c>
      <c r="V64" s="475"/>
    </row>
    <row r="65" spans="1:22" ht="16.5" thickBot="1" x14ac:dyDescent="0.3">
      <c r="A65" s="799"/>
      <c r="B65" s="799"/>
      <c r="C65" s="143">
        <v>0</v>
      </c>
      <c r="D65" s="143">
        <v>0</v>
      </c>
      <c r="E65" s="116">
        <f t="shared" si="10"/>
        <v>0</v>
      </c>
      <c r="F65" s="495" t="s">
        <v>14</v>
      </c>
      <c r="G65" s="494">
        <v>253</v>
      </c>
      <c r="H65" s="508">
        <f>'1461'!H65</f>
        <v>6685</v>
      </c>
      <c r="I65" s="101">
        <f t="shared" si="11"/>
        <v>0</v>
      </c>
      <c r="N65" s="849"/>
      <c r="O65" s="849"/>
      <c r="P65" s="857"/>
      <c r="Q65" s="857"/>
      <c r="R65" s="40" t="s">
        <v>14</v>
      </c>
      <c r="S65" s="500">
        <v>253</v>
      </c>
      <c r="T65" s="511">
        <f t="shared" si="12"/>
        <v>6685</v>
      </c>
      <c r="U65" s="526">
        <f t="shared" si="13"/>
        <v>0</v>
      </c>
      <c r="V65" s="475"/>
    </row>
    <row r="66" spans="1:22" ht="16.5" thickBot="1" x14ac:dyDescent="0.3">
      <c r="A66" s="491"/>
      <c r="C66" s="97">
        <f>SUM(C57:C65)</f>
        <v>8.27</v>
      </c>
      <c r="D66" s="97">
        <f>SUM(D57:D65)</f>
        <v>0</v>
      </c>
      <c r="E66" s="97">
        <f>SUM(E57:E65)</f>
        <v>16.54</v>
      </c>
      <c r="F66" s="800" t="s">
        <v>507</v>
      </c>
      <c r="G66" s="800"/>
      <c r="H66" s="800"/>
      <c r="I66" s="97">
        <f>SUM(I57:I65)</f>
        <v>16143.9</v>
      </c>
      <c r="N66" s="497"/>
      <c r="O66" s="51"/>
      <c r="P66" s="858">
        <f>SUM(P57:P65)</f>
        <v>0</v>
      </c>
      <c r="Q66" s="858"/>
      <c r="R66" s="846" t="s">
        <v>507</v>
      </c>
      <c r="S66" s="846"/>
      <c r="T66" s="846"/>
      <c r="U66" s="527">
        <f>SUM(U57:U65)</f>
        <v>0</v>
      </c>
      <c r="V66" s="475"/>
    </row>
    <row r="67" spans="1:22" x14ac:dyDescent="0.25">
      <c r="A67" s="491"/>
      <c r="C67" s="101"/>
      <c r="D67" s="101"/>
      <c r="E67" s="101"/>
      <c r="F67" s="496"/>
      <c r="G67" s="496"/>
      <c r="H67" s="496"/>
      <c r="I67" s="101"/>
      <c r="N67" s="497"/>
      <c r="O67" s="497"/>
      <c r="P67" s="497"/>
      <c r="Q67" s="497"/>
      <c r="R67" s="497"/>
      <c r="S67" s="497"/>
      <c r="T67" s="498"/>
      <c r="U67" s="498"/>
    </row>
    <row r="68" spans="1:22" x14ac:dyDescent="0.25">
      <c r="A68" s="493" t="s">
        <v>509</v>
      </c>
      <c r="N68" s="504" t="s">
        <v>517</v>
      </c>
      <c r="O68" s="51"/>
      <c r="P68" s="51"/>
      <c r="Q68" s="51"/>
      <c r="R68" s="51"/>
      <c r="S68" s="51"/>
      <c r="T68" s="51"/>
      <c r="U68" s="51"/>
    </row>
    <row r="69" spans="1:22" x14ac:dyDescent="0.25">
      <c r="A69" s="794" t="s">
        <v>463</v>
      </c>
      <c r="B69" s="788"/>
      <c r="C69" s="112">
        <f>E30</f>
        <v>103.02</v>
      </c>
      <c r="D69" s="775" t="s">
        <v>474</v>
      </c>
      <c r="E69" s="775"/>
      <c r="F69" s="775"/>
      <c r="G69" s="775"/>
      <c r="H69" s="299">
        <f>'1461'!H69</f>
        <v>210935.24</v>
      </c>
      <c r="I69" s="113"/>
      <c r="N69" s="853" t="s">
        <v>467</v>
      </c>
      <c r="O69" s="834"/>
      <c r="P69" s="41">
        <f>P30</f>
        <v>0</v>
      </c>
      <c r="Q69" s="854" t="s">
        <v>469</v>
      </c>
      <c r="R69" s="855"/>
      <c r="S69" s="855"/>
      <c r="T69" s="856">
        <f>H69</f>
        <v>210935.24</v>
      </c>
      <c r="U69" s="856"/>
    </row>
    <row r="70" spans="1:22" x14ac:dyDescent="0.25">
      <c r="B70" s="69"/>
      <c r="G70" s="42" t="s">
        <v>12</v>
      </c>
      <c r="H70" s="114">
        <f>ROUND(C69/H69,6)</f>
        <v>4.8799999999999999E-4</v>
      </c>
      <c r="I70" s="115"/>
      <c r="N70" s="834"/>
      <c r="O70" s="834"/>
      <c r="P70" s="834"/>
      <c r="Q70" s="834"/>
      <c r="R70" s="834"/>
      <c r="S70" s="834"/>
      <c r="T70" s="852">
        <f>ROUND(P69/T69,6)</f>
        <v>0</v>
      </c>
      <c r="U70" s="852"/>
    </row>
    <row r="71" spans="1:22" x14ac:dyDescent="0.25">
      <c r="A71" s="493" t="s">
        <v>510</v>
      </c>
      <c r="N71" s="504" t="s">
        <v>518</v>
      </c>
      <c r="O71" s="51"/>
      <c r="P71" s="51"/>
      <c r="Q71" s="51"/>
      <c r="R71" s="51"/>
      <c r="S71" s="51"/>
      <c r="T71" s="51"/>
      <c r="U71" s="51"/>
    </row>
    <row r="72" spans="1:22" x14ac:dyDescent="0.25">
      <c r="A72" s="794" t="s">
        <v>464</v>
      </c>
      <c r="B72" s="788"/>
      <c r="C72" s="112">
        <f>H30</f>
        <v>103.26610000000001</v>
      </c>
      <c r="D72" s="775" t="s">
        <v>475</v>
      </c>
      <c r="E72" s="775"/>
      <c r="F72" s="775"/>
      <c r="G72" s="775"/>
      <c r="H72" s="300">
        <f>'1461'!H72</f>
        <v>237601.62</v>
      </c>
      <c r="I72" s="116"/>
      <c r="N72" s="853" t="s">
        <v>468</v>
      </c>
      <c r="O72" s="834"/>
      <c r="P72" s="41">
        <f>T30</f>
        <v>0</v>
      </c>
      <c r="Q72" s="854" t="s">
        <v>470</v>
      </c>
      <c r="R72" s="855"/>
      <c r="S72" s="855"/>
      <c r="T72" s="856">
        <f>H72</f>
        <v>237601.62</v>
      </c>
      <c r="U72" s="856"/>
    </row>
    <row r="73" spans="1:22" x14ac:dyDescent="0.25">
      <c r="G73" s="42" t="s">
        <v>12</v>
      </c>
      <c r="H73" s="114">
        <f>ROUND(C72/H72,6)</f>
        <v>4.35E-4</v>
      </c>
      <c r="I73" s="114"/>
      <c r="N73" s="834"/>
      <c r="O73" s="834"/>
      <c r="P73" s="834"/>
      <c r="Q73" s="834"/>
      <c r="R73" s="834"/>
      <c r="S73" s="834"/>
      <c r="T73" s="852">
        <f>ROUND(P72/T72,6)</f>
        <v>0</v>
      </c>
      <c r="U73" s="852"/>
    </row>
    <row r="74" spans="1:22" x14ac:dyDescent="0.25">
      <c r="A74" s="468" t="s">
        <v>511</v>
      </c>
      <c r="B74" s="465"/>
      <c r="C74" s="465"/>
      <c r="D74" s="465"/>
      <c r="E74" s="465"/>
      <c r="F74" s="465"/>
      <c r="G74" s="465"/>
      <c r="H74" s="465"/>
      <c r="I74" s="465"/>
      <c r="N74" s="467" t="s">
        <v>519</v>
      </c>
      <c r="O74" s="466"/>
      <c r="P74" s="466"/>
      <c r="Q74" s="466"/>
      <c r="R74" s="466"/>
      <c r="S74" s="466"/>
      <c r="T74" s="466"/>
      <c r="U74" s="466"/>
      <c r="V74" s="465"/>
    </row>
    <row r="75" spans="1:22" x14ac:dyDescent="0.25">
      <c r="A75" s="794" t="s">
        <v>465</v>
      </c>
      <c r="B75" s="788"/>
      <c r="C75" s="112">
        <f>E30</f>
        <v>103.02</v>
      </c>
      <c r="D75" s="767" t="s">
        <v>476</v>
      </c>
      <c r="E75" s="767"/>
      <c r="F75" s="767"/>
      <c r="G75" s="767"/>
      <c r="H75" s="299">
        <f>'1461'!H75</f>
        <v>186826.74</v>
      </c>
      <c r="I75" s="113"/>
      <c r="N75" s="853" t="s">
        <v>466</v>
      </c>
      <c r="O75" s="834"/>
      <c r="P75" s="41">
        <f>P30</f>
        <v>0</v>
      </c>
      <c r="Q75" s="861" t="s">
        <v>471</v>
      </c>
      <c r="R75" s="862"/>
      <c r="S75" s="862"/>
      <c r="T75" s="856">
        <f>H75</f>
        <v>186826.74</v>
      </c>
      <c r="U75" s="856"/>
    </row>
    <row r="76" spans="1:22" x14ac:dyDescent="0.25">
      <c r="B76" s="69"/>
      <c r="G76" s="42" t="s">
        <v>12</v>
      </c>
      <c r="H76" s="114">
        <f>ROUND(C75/H75,6)</f>
        <v>5.5099999999999995E-4</v>
      </c>
      <c r="I76" s="115"/>
      <c r="N76" s="834"/>
      <c r="O76" s="834"/>
      <c r="P76" s="834"/>
      <c r="Q76" s="834"/>
      <c r="R76" s="834"/>
      <c r="S76" s="834"/>
      <c r="T76" s="852">
        <f>ROUND(P75/T75,6)</f>
        <v>0</v>
      </c>
      <c r="U76" s="852"/>
    </row>
    <row r="77" spans="1:22" x14ac:dyDescent="0.25">
      <c r="A77" s="468" t="s">
        <v>512</v>
      </c>
      <c r="B77" s="465"/>
      <c r="C77" s="465"/>
      <c r="D77" s="465"/>
      <c r="E77" s="465"/>
      <c r="F77" s="465"/>
      <c r="G77" s="465"/>
      <c r="H77" s="465"/>
      <c r="I77" s="465"/>
      <c r="N77" s="467" t="s">
        <v>520</v>
      </c>
      <c r="O77" s="466"/>
      <c r="P77" s="466"/>
      <c r="Q77" s="466"/>
      <c r="R77" s="466"/>
      <c r="S77" s="466"/>
      <c r="T77" s="466"/>
      <c r="U77" s="466"/>
      <c r="V77" s="465"/>
    </row>
    <row r="78" spans="1:22" x14ac:dyDescent="0.25">
      <c r="A78" s="794" t="s">
        <v>465</v>
      </c>
      <c r="B78" s="788"/>
      <c r="C78" s="112">
        <f>E30</f>
        <v>103.02</v>
      </c>
      <c r="D78" s="795" t="s">
        <v>477</v>
      </c>
      <c r="E78" s="795"/>
      <c r="F78" s="795"/>
      <c r="G78" s="795"/>
      <c r="H78" s="299">
        <f>'1461'!H78</f>
        <v>210630.63</v>
      </c>
      <c r="I78" s="113"/>
      <c r="N78" s="853" t="s">
        <v>466</v>
      </c>
      <c r="O78" s="834"/>
      <c r="P78" s="41">
        <f>P30</f>
        <v>0</v>
      </c>
      <c r="Q78" s="859" t="s">
        <v>472</v>
      </c>
      <c r="R78" s="860"/>
      <c r="S78" s="860"/>
      <c r="T78" s="856">
        <f>H78</f>
        <v>210630.63</v>
      </c>
      <c r="U78" s="856"/>
    </row>
    <row r="79" spans="1:22" x14ac:dyDescent="0.25">
      <c r="B79" s="69"/>
      <c r="G79" s="42" t="s">
        <v>12</v>
      </c>
      <c r="H79" s="114">
        <f>ROUND(C78/H78,6)</f>
        <v>4.8899999999999996E-4</v>
      </c>
      <c r="I79" s="115"/>
      <c r="N79" s="834"/>
      <c r="O79" s="834"/>
      <c r="P79" s="834"/>
      <c r="Q79" s="834"/>
      <c r="R79" s="834"/>
      <c r="S79" s="834"/>
      <c r="T79" s="852">
        <f>ROUND(P78/T78,6)</f>
        <v>0</v>
      </c>
      <c r="U79" s="852"/>
    </row>
    <row r="80" spans="1:22" x14ac:dyDescent="0.25">
      <c r="A80" s="468" t="s">
        <v>513</v>
      </c>
      <c r="B80" s="465"/>
      <c r="C80" s="465"/>
      <c r="D80" s="465"/>
      <c r="E80" s="465"/>
      <c r="F80" s="465"/>
      <c r="G80" s="465"/>
      <c r="H80" s="465"/>
      <c r="I80" s="465"/>
      <c r="N80" s="467" t="s">
        <v>521</v>
      </c>
      <c r="O80" s="466"/>
      <c r="P80" s="466"/>
      <c r="Q80" s="466"/>
      <c r="R80" s="466"/>
      <c r="S80" s="466"/>
      <c r="T80" s="466"/>
      <c r="U80" s="466"/>
      <c r="V80" s="465"/>
    </row>
    <row r="81" spans="1:21" x14ac:dyDescent="0.25">
      <c r="A81" s="794" t="s">
        <v>473</v>
      </c>
      <c r="B81" s="788"/>
      <c r="C81" s="112">
        <f>E30</f>
        <v>103.02</v>
      </c>
      <c r="D81" s="767" t="s">
        <v>478</v>
      </c>
      <c r="E81" s="767"/>
      <c r="F81" s="767"/>
      <c r="G81" s="767"/>
      <c r="H81" s="299">
        <f>'1461'!H81</f>
        <v>186522.13</v>
      </c>
      <c r="I81" s="113"/>
      <c r="N81" s="853" t="s">
        <v>479</v>
      </c>
      <c r="O81" s="834"/>
      <c r="P81" s="41">
        <f>P30</f>
        <v>0</v>
      </c>
      <c r="Q81" s="861" t="s">
        <v>480</v>
      </c>
      <c r="R81" s="862"/>
      <c r="S81" s="862"/>
      <c r="T81" s="856">
        <f>H81</f>
        <v>186522.13</v>
      </c>
      <c r="U81" s="856"/>
    </row>
    <row r="82" spans="1:21" x14ac:dyDescent="0.25">
      <c r="B82" s="69"/>
      <c r="G82" s="42" t="s">
        <v>12</v>
      </c>
      <c r="H82" s="114">
        <f>ROUND(C81/H81,6)</f>
        <v>5.5199999999999997E-4</v>
      </c>
      <c r="I82" s="115"/>
      <c r="N82" s="834"/>
      <c r="O82" s="834"/>
      <c r="P82" s="834"/>
      <c r="Q82" s="834"/>
      <c r="R82" s="834"/>
      <c r="S82" s="834"/>
      <c r="T82" s="852">
        <f>ROUND(P81/T81,6)</f>
        <v>0</v>
      </c>
      <c r="U82" s="852"/>
    </row>
    <row r="83" spans="1:21" x14ac:dyDescent="0.25">
      <c r="A83" s="491"/>
      <c r="G83" s="42"/>
      <c r="H83" s="114"/>
      <c r="I83" s="114"/>
      <c r="N83" s="497"/>
      <c r="O83" s="497"/>
      <c r="P83" s="497"/>
      <c r="Q83" s="497"/>
      <c r="R83" s="497"/>
      <c r="S83" s="497"/>
      <c r="T83" s="498"/>
      <c r="U83" s="498"/>
    </row>
    <row r="84" spans="1:21" x14ac:dyDescent="0.25">
      <c r="A84" s="491"/>
      <c r="G84" s="42"/>
      <c r="H84" s="114"/>
      <c r="I84" s="114"/>
      <c r="N84" s="497"/>
      <c r="O84" s="497"/>
      <c r="P84" s="497"/>
      <c r="Q84" s="497"/>
      <c r="R84" s="497"/>
      <c r="S84" s="497"/>
      <c r="T84" s="498"/>
      <c r="U84" s="498"/>
    </row>
    <row r="85" spans="1:21" x14ac:dyDescent="0.25">
      <c r="A85" s="493" t="s">
        <v>514</v>
      </c>
      <c r="D85" s="69"/>
      <c r="E85" s="43" t="s">
        <v>316</v>
      </c>
      <c r="F85" s="301">
        <f>'1461'!F85</f>
        <v>46301717</v>
      </c>
      <c r="G85" s="37" t="s">
        <v>6</v>
      </c>
      <c r="H85" s="473">
        <f>H79</f>
        <v>4.8899999999999996E-4</v>
      </c>
      <c r="I85" s="101">
        <f>ROUND(F85*H85,2)</f>
        <v>22641.54</v>
      </c>
      <c r="N85" s="504" t="s">
        <v>514</v>
      </c>
      <c r="O85" s="51"/>
      <c r="P85" s="51"/>
      <c r="Q85" s="44"/>
      <c r="R85" s="470">
        <f>F85</f>
        <v>46301717</v>
      </c>
      <c r="S85" s="38" t="s">
        <v>6</v>
      </c>
      <c r="T85" s="472">
        <f>T79</f>
        <v>0</v>
      </c>
      <c r="U85" s="524">
        <f>ROUND(R85*T85,2)</f>
        <v>0</v>
      </c>
    </row>
    <row r="86" spans="1:21" x14ac:dyDescent="0.25">
      <c r="A86" s="451"/>
      <c r="D86" s="69"/>
      <c r="E86" s="43"/>
      <c r="F86" s="117"/>
      <c r="G86" s="37"/>
      <c r="H86" s="473"/>
      <c r="I86" s="101"/>
      <c r="N86" s="51"/>
      <c r="O86" s="51"/>
      <c r="P86" s="51"/>
      <c r="Q86" s="44"/>
      <c r="R86" s="471"/>
      <c r="S86" s="38"/>
      <c r="T86" s="472"/>
      <c r="U86" s="528"/>
    </row>
    <row r="87" spans="1:21" x14ac:dyDescent="0.25">
      <c r="A87" s="797" t="s">
        <v>71</v>
      </c>
      <c r="B87" s="788"/>
      <c r="C87" s="788"/>
      <c r="D87" s="69"/>
      <c r="E87" s="43"/>
      <c r="F87" s="117"/>
      <c r="G87" s="37"/>
      <c r="H87" s="473"/>
      <c r="I87" s="101"/>
      <c r="N87" s="853" t="s">
        <v>522</v>
      </c>
      <c r="O87" s="834"/>
      <c r="P87" s="834"/>
      <c r="Q87" s="51"/>
      <c r="R87" s="471"/>
      <c r="S87" s="51"/>
      <c r="T87" s="38"/>
      <c r="U87" s="529"/>
    </row>
    <row r="88" spans="1:21" x14ac:dyDescent="0.25">
      <c r="A88" s="797" t="s">
        <v>99</v>
      </c>
      <c r="B88" s="788"/>
      <c r="C88" s="788"/>
      <c r="D88" s="69"/>
      <c r="E88" s="43" t="s">
        <v>3</v>
      </c>
      <c r="F88" s="301">
        <f>'1461'!F88</f>
        <v>0</v>
      </c>
      <c r="G88" s="37" t="s">
        <v>6</v>
      </c>
      <c r="H88" s="473">
        <f>H70</f>
        <v>4.8799999999999999E-4</v>
      </c>
      <c r="I88" s="101">
        <f>ROUND(F88*H88,2)</f>
        <v>0</v>
      </c>
      <c r="N88" s="863" t="s">
        <v>99</v>
      </c>
      <c r="O88" s="834"/>
      <c r="P88" s="834"/>
      <c r="Q88" s="44"/>
      <c r="R88" s="470">
        <f>F88</f>
        <v>0</v>
      </c>
      <c r="S88" s="38" t="s">
        <v>6</v>
      </c>
      <c r="T88" s="472">
        <f>T70</f>
        <v>0</v>
      </c>
      <c r="U88" s="524">
        <f>ROUND(R88*T88,2)</f>
        <v>0</v>
      </c>
    </row>
    <row r="89" spans="1:21" x14ac:dyDescent="0.25">
      <c r="A89" s="482"/>
      <c r="B89" s="69"/>
      <c r="C89" s="69"/>
      <c r="D89" s="69"/>
      <c r="E89" s="43"/>
      <c r="F89" s="117"/>
      <c r="G89" s="37"/>
      <c r="H89" s="473"/>
      <c r="I89" s="101"/>
      <c r="N89" s="485"/>
      <c r="O89" s="45"/>
      <c r="P89" s="45"/>
      <c r="Q89" s="44"/>
      <c r="R89" s="470"/>
      <c r="S89" s="38"/>
      <c r="T89" s="472"/>
      <c r="U89" s="524"/>
    </row>
    <row r="90" spans="1:21" x14ac:dyDescent="0.25">
      <c r="A90" s="502" t="s">
        <v>515</v>
      </c>
      <c r="D90" s="69"/>
      <c r="E90" s="43" t="s">
        <v>481</v>
      </c>
      <c r="F90" s="301">
        <f>'1461'!F90</f>
        <v>19125890</v>
      </c>
      <c r="G90" s="37" t="s">
        <v>6</v>
      </c>
      <c r="H90" s="473">
        <f>H82</f>
        <v>5.5199999999999997E-4</v>
      </c>
      <c r="I90" s="101">
        <f>ROUND(F90*H90,2)</f>
        <v>10557.49</v>
      </c>
      <c r="N90" s="504" t="s">
        <v>515</v>
      </c>
      <c r="O90" s="51"/>
      <c r="P90" s="51"/>
      <c r="Q90" s="44"/>
      <c r="R90" s="470">
        <f>F90</f>
        <v>19125890</v>
      </c>
      <c r="S90" s="38" t="s">
        <v>6</v>
      </c>
      <c r="T90" s="472">
        <f>T82</f>
        <v>0</v>
      </c>
      <c r="U90" s="524">
        <f>ROUND(R90*T90,2)</f>
        <v>0</v>
      </c>
    </row>
    <row r="91" spans="1:21" x14ac:dyDescent="0.25">
      <c r="A91" s="451"/>
      <c r="D91" s="69"/>
      <c r="E91" s="43"/>
      <c r="F91" s="117"/>
      <c r="G91" s="37"/>
      <c r="H91" s="473"/>
      <c r="I91" s="101"/>
      <c r="N91" s="459"/>
      <c r="O91" s="51"/>
      <c r="P91" s="51"/>
      <c r="Q91" s="44"/>
      <c r="R91" s="470"/>
      <c r="S91" s="38"/>
      <c r="T91" s="472"/>
      <c r="U91" s="524"/>
    </row>
    <row r="92" spans="1:21" x14ac:dyDescent="0.25">
      <c r="A92" s="502" t="s">
        <v>516</v>
      </c>
      <c r="D92" s="69"/>
      <c r="E92" s="43" t="s">
        <v>3</v>
      </c>
      <c r="F92" s="301">
        <f>'1461'!F92</f>
        <v>11511363</v>
      </c>
      <c r="G92" s="37" t="s">
        <v>6</v>
      </c>
      <c r="H92" s="473">
        <f>H76</f>
        <v>5.5099999999999995E-4</v>
      </c>
      <c r="I92" s="101">
        <f t="shared" ref="I92:I96" si="14">ROUND(F92*H92,2)</f>
        <v>6342.76</v>
      </c>
      <c r="N92" s="504" t="s">
        <v>516</v>
      </c>
      <c r="O92" s="51"/>
      <c r="P92" s="51"/>
      <c r="Q92" s="44"/>
      <c r="R92" s="470">
        <f t="shared" ref="R92:R96" si="15">F92</f>
        <v>11511363</v>
      </c>
      <c r="S92" s="38" t="s">
        <v>6</v>
      </c>
      <c r="T92" s="472">
        <f>T76</f>
        <v>0</v>
      </c>
      <c r="U92" s="524">
        <f>ROUND(R92*T92,2)</f>
        <v>0</v>
      </c>
    </row>
    <row r="93" spans="1:21" x14ac:dyDescent="0.25">
      <c r="A93" s="81"/>
      <c r="D93" s="69"/>
      <c r="E93" s="43"/>
      <c r="F93" s="117"/>
      <c r="G93" s="37"/>
      <c r="H93" s="473"/>
      <c r="I93" s="101"/>
      <c r="N93" s="435"/>
      <c r="O93" s="51"/>
      <c r="P93" s="51"/>
      <c r="Q93" s="44"/>
      <c r="R93" s="471"/>
      <c r="S93" s="38"/>
      <c r="T93" s="472"/>
      <c r="U93" s="528"/>
    </row>
    <row r="94" spans="1:21" x14ac:dyDescent="0.25">
      <c r="A94" s="794" t="s">
        <v>482</v>
      </c>
      <c r="B94" s="788"/>
      <c r="C94" s="788"/>
      <c r="D94" s="69"/>
      <c r="E94" s="43" t="s">
        <v>4</v>
      </c>
      <c r="F94" s="301">
        <f>'1461'!F94</f>
        <v>255756816</v>
      </c>
      <c r="G94" s="37" t="s">
        <v>6</v>
      </c>
      <c r="H94" s="473">
        <f>H73</f>
        <v>4.35E-4</v>
      </c>
      <c r="I94" s="101">
        <f t="shared" si="14"/>
        <v>111254.21</v>
      </c>
      <c r="N94" s="834" t="s">
        <v>482</v>
      </c>
      <c r="O94" s="834"/>
      <c r="P94" s="834"/>
      <c r="Q94" s="44"/>
      <c r="R94" s="470">
        <f t="shared" si="15"/>
        <v>255756816</v>
      </c>
      <c r="S94" s="38" t="s">
        <v>6</v>
      </c>
      <c r="T94" s="472">
        <f>T73</f>
        <v>0</v>
      </c>
      <c r="U94" s="524">
        <f>ROUND(R94*T94,2)</f>
        <v>0</v>
      </c>
    </row>
    <row r="95" spans="1:21" x14ac:dyDescent="0.25">
      <c r="A95" s="81"/>
      <c r="B95" s="69"/>
      <c r="C95" s="69"/>
      <c r="D95" s="69"/>
      <c r="E95" s="43"/>
      <c r="F95" s="117"/>
      <c r="G95" s="37"/>
      <c r="H95" s="473"/>
      <c r="I95" s="101"/>
      <c r="N95" s="45"/>
      <c r="O95" s="45"/>
      <c r="P95" s="45"/>
      <c r="Q95" s="44"/>
      <c r="R95" s="470"/>
      <c r="S95" s="38"/>
      <c r="T95" s="472"/>
      <c r="U95" s="524"/>
    </row>
    <row r="96" spans="1:21" x14ac:dyDescent="0.25">
      <c r="A96" s="794" t="s">
        <v>483</v>
      </c>
      <c r="B96" s="788"/>
      <c r="C96" s="788"/>
      <c r="D96" s="69"/>
      <c r="E96" s="43" t="s">
        <v>4</v>
      </c>
      <c r="F96" s="301">
        <f>'1461'!F96</f>
        <v>-15444055</v>
      </c>
      <c r="G96" s="37" t="s">
        <v>6</v>
      </c>
      <c r="H96" s="473">
        <f>H73</f>
        <v>4.35E-4</v>
      </c>
      <c r="I96" s="101">
        <f t="shared" si="14"/>
        <v>-6718.16</v>
      </c>
      <c r="N96" s="853" t="s">
        <v>483</v>
      </c>
      <c r="O96" s="834"/>
      <c r="P96" s="834"/>
      <c r="Q96" s="44"/>
      <c r="R96" s="470">
        <f t="shared" si="15"/>
        <v>-15444055</v>
      </c>
      <c r="S96" s="38" t="s">
        <v>6</v>
      </c>
      <c r="T96" s="472">
        <f>T73</f>
        <v>0</v>
      </c>
      <c r="U96" s="524">
        <f>ROUND(R96*T96,2)</f>
        <v>0</v>
      </c>
    </row>
    <row r="97" spans="1:21" x14ac:dyDescent="0.25">
      <c r="A97" s="81"/>
      <c r="B97" s="69"/>
      <c r="C97" s="69"/>
      <c r="D97" s="69"/>
      <c r="E97" s="43"/>
      <c r="F97" s="117"/>
      <c r="G97" s="37"/>
      <c r="H97" s="473"/>
      <c r="I97" s="101"/>
      <c r="N97" s="435"/>
      <c r="O97" s="45"/>
      <c r="P97" s="45"/>
      <c r="Q97" s="44"/>
      <c r="R97" s="471"/>
      <c r="S97" s="38"/>
      <c r="T97" s="472"/>
      <c r="U97" s="103"/>
    </row>
    <row r="98" spans="1:21" x14ac:dyDescent="0.25">
      <c r="A98" s="584" t="s">
        <v>556</v>
      </c>
      <c r="B98" s="583"/>
      <c r="C98" s="583"/>
      <c r="D98" s="583"/>
      <c r="E98" s="581" t="s">
        <v>3</v>
      </c>
      <c r="F98" s="301">
        <f>'1461'!F98</f>
        <v>5621424</v>
      </c>
      <c r="G98" s="582" t="s">
        <v>6</v>
      </c>
      <c r="H98" s="473">
        <f>H70</f>
        <v>4.8799999999999999E-4</v>
      </c>
      <c r="I98" s="101">
        <f t="shared" ref="I98" si="16">ROUND(F98*H98,2)</f>
        <v>2743.25</v>
      </c>
      <c r="N98" s="587" t="s">
        <v>556</v>
      </c>
      <c r="O98" s="587"/>
      <c r="P98" s="587"/>
      <c r="Q98" s="44"/>
      <c r="R98" s="590">
        <f>F98</f>
        <v>5621424</v>
      </c>
      <c r="S98" s="588" t="s">
        <v>6</v>
      </c>
      <c r="T98" s="472">
        <f>T70</f>
        <v>0</v>
      </c>
      <c r="U98" s="524">
        <f>ROUND(R98*T98,2)</f>
        <v>0</v>
      </c>
    </row>
    <row r="99" spans="1:21" x14ac:dyDescent="0.25">
      <c r="A99" s="584"/>
      <c r="B99" s="583"/>
      <c r="C99" s="583"/>
      <c r="D99" s="583"/>
      <c r="E99" s="581"/>
      <c r="F99" s="275"/>
      <c r="G99" s="582"/>
      <c r="H99" s="473"/>
      <c r="I99" s="101"/>
      <c r="N99" s="587"/>
      <c r="O99" s="587"/>
      <c r="P99" s="587"/>
      <c r="Q99" s="44"/>
      <c r="R99" s="589"/>
      <c r="S99" s="588"/>
      <c r="T99" s="472"/>
      <c r="U99" s="528"/>
    </row>
    <row r="100" spans="1:21" x14ac:dyDescent="0.25">
      <c r="A100" s="584"/>
      <c r="B100" s="583"/>
      <c r="C100" s="583"/>
      <c r="D100" s="583"/>
      <c r="E100" s="581"/>
      <c r="F100" s="275"/>
      <c r="G100" s="582"/>
      <c r="H100" s="473"/>
      <c r="I100" s="101"/>
      <c r="N100" s="587"/>
      <c r="O100" s="587"/>
      <c r="P100" s="587"/>
      <c r="Q100" s="44"/>
      <c r="R100" s="471"/>
      <c r="S100" s="588"/>
      <c r="T100" s="472"/>
      <c r="U100" s="103"/>
    </row>
    <row r="101" spans="1:21" x14ac:dyDescent="0.25">
      <c r="A101" s="451" t="s">
        <v>557</v>
      </c>
      <c r="N101" s="459" t="s">
        <v>557</v>
      </c>
      <c r="O101" s="51"/>
      <c r="P101" s="51"/>
      <c r="Q101" s="51"/>
      <c r="R101" s="51"/>
      <c r="S101" s="51"/>
      <c r="T101" s="51"/>
      <c r="U101" s="51"/>
    </row>
    <row r="102" spans="1:21" x14ac:dyDescent="0.25">
      <c r="B102" s="69"/>
      <c r="C102" s="773" t="s">
        <v>60</v>
      </c>
      <c r="D102" s="773"/>
      <c r="E102" s="69"/>
      <c r="F102" s="39" t="s">
        <v>28</v>
      </c>
      <c r="G102" s="69"/>
      <c r="H102" s="69"/>
      <c r="I102" s="69"/>
      <c r="N102" s="45"/>
      <c r="O102" s="45"/>
      <c r="P102" s="45"/>
      <c r="Q102" s="45"/>
      <c r="R102" s="45"/>
      <c r="S102" s="45"/>
      <c r="T102" s="45"/>
      <c r="U102" s="45"/>
    </row>
    <row r="103" spans="1:21" x14ac:dyDescent="0.25">
      <c r="A103" s="3"/>
      <c r="B103" s="118"/>
      <c r="C103" s="774" t="s">
        <v>101</v>
      </c>
      <c r="D103" s="774"/>
      <c r="E103" s="474" t="s">
        <v>486</v>
      </c>
      <c r="F103" s="120" t="s">
        <v>106</v>
      </c>
      <c r="G103" s="121"/>
      <c r="H103" s="121"/>
      <c r="I103" s="121"/>
      <c r="N103" s="865" t="s">
        <v>35</v>
      </c>
      <c r="O103" s="865"/>
      <c r="P103" s="882" t="s">
        <v>488</v>
      </c>
      <c r="Q103" s="867"/>
      <c r="R103" s="856" t="s">
        <v>31</v>
      </c>
      <c r="S103" s="856"/>
      <c r="T103" s="856"/>
      <c r="U103" s="856"/>
    </row>
    <row r="104" spans="1:21" x14ac:dyDescent="0.25">
      <c r="A104" s="26"/>
      <c r="B104" s="52" t="s">
        <v>105</v>
      </c>
      <c r="C104" s="806">
        <f>H14+H15+H20+H23+H26</f>
        <v>0</v>
      </c>
      <c r="D104" s="806"/>
      <c r="E104" s="46">
        <f>H8</f>
        <v>1.0407999999999999</v>
      </c>
      <c r="F104" s="302">
        <f>'1461'!F104</f>
        <v>950.92</v>
      </c>
      <c r="G104" s="39" t="s">
        <v>12</v>
      </c>
      <c r="H104" s="101">
        <f>ROUND(C104*E104*F104,2)</f>
        <v>0</v>
      </c>
      <c r="I104" s="104"/>
      <c r="N104" s="28" t="s">
        <v>17</v>
      </c>
      <c r="O104" s="47">
        <f>T14+T15+T20+T23+T26</f>
        <v>0</v>
      </c>
      <c r="P104" s="864">
        <f>T8</f>
        <v>1.0407999999999999</v>
      </c>
      <c r="Q104" s="864"/>
      <c r="R104" s="48">
        <f>F104</f>
        <v>950.92</v>
      </c>
      <c r="S104" s="40" t="s">
        <v>12</v>
      </c>
      <c r="T104" s="530">
        <f>ROUND(O104*P104*R104,2)</f>
        <v>0</v>
      </c>
      <c r="U104" s="102"/>
    </row>
    <row r="105" spans="1:21" x14ac:dyDescent="0.25">
      <c r="A105" s="49"/>
      <c r="B105" s="49" t="s">
        <v>104</v>
      </c>
      <c r="C105" s="806">
        <f>H16+H17+H21+H24+H27</f>
        <v>0</v>
      </c>
      <c r="D105" s="806"/>
      <c r="E105" s="46">
        <f>H8</f>
        <v>1.0407999999999999</v>
      </c>
      <c r="F105" s="302">
        <f>'1461'!F105</f>
        <v>907.92</v>
      </c>
      <c r="G105" s="39" t="s">
        <v>12</v>
      </c>
      <c r="H105" s="101">
        <f>ROUND(C105*E105*F105,2)</f>
        <v>0</v>
      </c>
      <c r="N105" s="50" t="s">
        <v>13</v>
      </c>
      <c r="O105" s="47">
        <f>T16+T17+T21+T24+T27</f>
        <v>0</v>
      </c>
      <c r="P105" s="864">
        <f>T8</f>
        <v>1.0407999999999999</v>
      </c>
      <c r="Q105" s="864"/>
      <c r="R105" s="48">
        <f>F105</f>
        <v>907.92</v>
      </c>
      <c r="S105" s="40" t="s">
        <v>12</v>
      </c>
      <c r="T105" s="530">
        <f>ROUND(O105*P105*R105,2)</f>
        <v>0</v>
      </c>
      <c r="U105" s="51"/>
    </row>
    <row r="106" spans="1:21" ht="16.5" thickBot="1" x14ac:dyDescent="0.3">
      <c r="A106" s="52"/>
      <c r="B106" s="52" t="s">
        <v>103</v>
      </c>
      <c r="C106" s="806">
        <f>H18+H19+H22+H25+H28+H29</f>
        <v>103.26610000000001</v>
      </c>
      <c r="D106" s="806"/>
      <c r="E106" s="46">
        <f>H8</f>
        <v>1.0407999999999999</v>
      </c>
      <c r="F106" s="302">
        <f>'1461'!F106</f>
        <v>910.12</v>
      </c>
      <c r="G106" s="39" t="s">
        <v>12</v>
      </c>
      <c r="H106" s="94">
        <f>ROUND(C106*E106*F106,2)</f>
        <v>97819.11</v>
      </c>
      <c r="N106" s="53" t="s">
        <v>14</v>
      </c>
      <c r="O106" s="54">
        <f>T18+T19+T22+T25+T28+T29</f>
        <v>0</v>
      </c>
      <c r="P106" s="864">
        <f>T8</f>
        <v>1.0407999999999999</v>
      </c>
      <c r="Q106" s="864"/>
      <c r="R106" s="48">
        <f>F106</f>
        <v>910.12</v>
      </c>
      <c r="S106" s="40" t="s">
        <v>12</v>
      </c>
      <c r="T106" s="530">
        <f>ROUND(O106*P106*R106,2)</f>
        <v>0</v>
      </c>
      <c r="U106" s="51"/>
    </row>
    <row r="107" spans="1:21" ht="16.5" thickBot="1" x14ac:dyDescent="0.3">
      <c r="A107" s="55"/>
      <c r="B107" s="122" t="s">
        <v>102</v>
      </c>
      <c r="C107" s="796">
        <f>SUM(C104:C106)</f>
        <v>103.26610000000001</v>
      </c>
      <c r="D107" s="796"/>
      <c r="E107" s="123"/>
      <c r="F107" s="123"/>
      <c r="G107" s="123"/>
      <c r="H107" s="124" t="s">
        <v>100</v>
      </c>
      <c r="I107" s="101">
        <f>IF(A1=75,0,H106+H105+H104)</f>
        <v>97819.11</v>
      </c>
      <c r="N107" s="56" t="s">
        <v>89</v>
      </c>
      <c r="O107" s="57">
        <f>SUM(O104:O106)</f>
        <v>0</v>
      </c>
      <c r="P107" s="870" t="s">
        <v>16</v>
      </c>
      <c r="Q107" s="871"/>
      <c r="R107" s="871"/>
      <c r="S107" s="871"/>
      <c r="T107" s="871"/>
      <c r="U107" s="524">
        <f>IF(N1=75,0,T106+T105+T104)</f>
        <v>0</v>
      </c>
    </row>
    <row r="108" spans="1:21" ht="16.5" thickTop="1" x14ac:dyDescent="0.25">
      <c r="A108" s="765" t="s">
        <v>65</v>
      </c>
      <c r="B108" s="765"/>
      <c r="C108" s="765"/>
      <c r="D108" s="765"/>
      <c r="E108" s="765"/>
      <c r="F108" s="765"/>
      <c r="G108" s="765"/>
      <c r="H108" s="765"/>
      <c r="I108" s="765"/>
      <c r="N108" s="872" t="s">
        <v>65</v>
      </c>
      <c r="O108" s="872"/>
      <c r="P108" s="872"/>
      <c r="Q108" s="872"/>
      <c r="R108" s="872"/>
      <c r="S108" s="872"/>
      <c r="T108" s="872"/>
      <c r="U108" s="872"/>
    </row>
    <row r="109" spans="1:21" x14ac:dyDescent="0.25">
      <c r="A109" s="483"/>
      <c r="B109" s="483"/>
      <c r="C109" s="483"/>
      <c r="D109" s="483"/>
      <c r="E109" s="483"/>
      <c r="F109" s="483"/>
      <c r="G109" s="483"/>
      <c r="H109" s="483"/>
      <c r="I109" s="483"/>
      <c r="N109" s="484"/>
      <c r="O109" s="484"/>
      <c r="P109" s="484"/>
      <c r="Q109" s="484"/>
      <c r="R109" s="484"/>
      <c r="S109" s="484"/>
      <c r="T109" s="484"/>
      <c r="U109" s="484"/>
    </row>
    <row r="110" spans="1:21" x14ac:dyDescent="0.25">
      <c r="A110" s="584" t="s">
        <v>558</v>
      </c>
      <c r="C110" s="43"/>
      <c r="D110" s="69"/>
      <c r="E110" s="43" t="s">
        <v>32</v>
      </c>
      <c r="F110" s="766"/>
      <c r="G110" s="766"/>
      <c r="H110" s="766"/>
      <c r="I110" s="766"/>
      <c r="N110" s="853" t="s">
        <v>558</v>
      </c>
      <c r="O110" s="834"/>
      <c r="P110" s="834"/>
      <c r="Q110" s="873"/>
      <c r="R110" s="873"/>
      <c r="S110" s="873"/>
      <c r="T110" s="873"/>
      <c r="U110" s="103"/>
    </row>
    <row r="111" spans="1:21" x14ac:dyDescent="0.25">
      <c r="B111" s="69"/>
      <c r="C111" s="88" t="s">
        <v>581</v>
      </c>
      <c r="D111" s="349" t="s">
        <v>582</v>
      </c>
      <c r="E111" s="89" t="s">
        <v>107</v>
      </c>
      <c r="F111" s="43"/>
      <c r="G111" s="43"/>
      <c r="H111" s="43"/>
      <c r="I111" s="43"/>
      <c r="N111" s="45"/>
      <c r="O111" s="45"/>
      <c r="P111" s="45"/>
      <c r="Q111" s="125"/>
      <c r="R111" s="125"/>
      <c r="S111" s="125"/>
      <c r="T111" s="125"/>
      <c r="U111" s="103"/>
    </row>
    <row r="112" spans="1:21" x14ac:dyDescent="0.25">
      <c r="B112" s="69"/>
      <c r="C112" s="342"/>
      <c r="D112" s="340"/>
      <c r="E112" s="340" t="s">
        <v>2</v>
      </c>
      <c r="F112" s="43"/>
      <c r="G112" s="43"/>
      <c r="H112" s="43"/>
      <c r="I112" s="43"/>
      <c r="N112" s="45"/>
      <c r="O112" s="45"/>
      <c r="P112" s="45"/>
      <c r="Q112" s="125"/>
      <c r="R112" s="125"/>
      <c r="S112" s="125"/>
      <c r="T112" s="125"/>
      <c r="U112" s="103"/>
    </row>
    <row r="113" spans="1:21" x14ac:dyDescent="0.25">
      <c r="A113" s="767" t="s">
        <v>443</v>
      </c>
      <c r="B113" s="768"/>
      <c r="C113" s="143">
        <v>0</v>
      </c>
      <c r="D113" s="143">
        <v>0</v>
      </c>
      <c r="E113" s="116">
        <f>(C113+D113)/2</f>
        <v>0</v>
      </c>
      <c r="F113" s="126" t="s">
        <v>30</v>
      </c>
      <c r="G113" s="303">
        <f>'1461'!G113</f>
        <v>607</v>
      </c>
      <c r="I113" s="101">
        <f>ROUND(G113*E113,2)</f>
        <v>0</v>
      </c>
      <c r="N113" s="868" t="s">
        <v>52</v>
      </c>
      <c r="O113" s="868"/>
      <c r="P113" s="869">
        <f>IF(H133=1,E113,0)</f>
        <v>0</v>
      </c>
      <c r="Q113" s="869"/>
      <c r="R113" s="869"/>
      <c r="S113" s="83" t="s">
        <v>30</v>
      </c>
      <c r="T113" s="58">
        <f>G113</f>
        <v>607</v>
      </c>
      <c r="U113" s="524">
        <f>ROUND(T113*P113,2)</f>
        <v>0</v>
      </c>
    </row>
    <row r="114" spans="1:21" x14ac:dyDescent="0.25">
      <c r="A114" s="767" t="s">
        <v>444</v>
      </c>
      <c r="B114" s="768"/>
      <c r="C114" s="143">
        <v>0</v>
      </c>
      <c r="D114" s="143">
        <v>0</v>
      </c>
      <c r="E114" s="116">
        <f>(C114+D114)/2</f>
        <v>0</v>
      </c>
      <c r="F114" s="126" t="s">
        <v>30</v>
      </c>
      <c r="G114" s="303">
        <f>'1461'!G114</f>
        <v>1842</v>
      </c>
      <c r="I114" s="101">
        <f>ROUND(G114*E114,2)</f>
        <v>0</v>
      </c>
      <c r="N114" s="868" t="s">
        <v>64</v>
      </c>
      <c r="O114" s="868"/>
      <c r="P114" s="841"/>
      <c r="Q114" s="841"/>
      <c r="R114" s="841"/>
      <c r="S114" s="83" t="s">
        <v>30</v>
      </c>
      <c r="T114" s="58">
        <f>G114</f>
        <v>1842</v>
      </c>
      <c r="U114" s="52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94" t="s">
        <v>490</v>
      </c>
      <c r="B117" s="788"/>
      <c r="C117" s="788"/>
      <c r="D117" s="69"/>
      <c r="E117" s="39" t="s">
        <v>317</v>
      </c>
      <c r="F117" s="773"/>
      <c r="G117" s="773"/>
      <c r="H117" s="773"/>
      <c r="I117" s="773"/>
      <c r="N117" s="853" t="s">
        <v>491</v>
      </c>
      <c r="O117" s="834"/>
      <c r="P117" s="834"/>
      <c r="Q117" s="834"/>
      <c r="R117" s="834"/>
      <c r="S117" s="834"/>
      <c r="T117" s="834"/>
      <c r="U117" s="834"/>
    </row>
    <row r="118" spans="1:21" hidden="1" x14ac:dyDescent="0.25">
      <c r="B118" s="69"/>
      <c r="C118" s="774" t="s">
        <v>66</v>
      </c>
      <c r="D118" s="774"/>
      <c r="E118" s="774"/>
      <c r="F118" s="37"/>
      <c r="G118" s="37"/>
      <c r="H118" s="39" t="s">
        <v>108</v>
      </c>
      <c r="I118" s="37"/>
      <c r="N118" s="45"/>
      <c r="O118" s="45"/>
      <c r="P118" s="45"/>
      <c r="Q118" s="45"/>
      <c r="R118" s="45"/>
      <c r="S118" s="45"/>
      <c r="T118" s="45"/>
      <c r="U118" s="45"/>
    </row>
    <row r="119" spans="1:21" hidden="1" x14ac:dyDescent="0.25">
      <c r="B119" s="69"/>
      <c r="C119" s="88" t="s">
        <v>341</v>
      </c>
      <c r="D119" s="88" t="s">
        <v>314</v>
      </c>
      <c r="E119" s="137" t="s">
        <v>8</v>
      </c>
      <c r="F119" s="775" t="s">
        <v>109</v>
      </c>
      <c r="G119" s="773"/>
      <c r="H119" s="37" t="s">
        <v>29</v>
      </c>
      <c r="I119" s="37"/>
      <c r="N119" s="45"/>
      <c r="O119" s="45"/>
      <c r="P119" s="45"/>
      <c r="Q119" s="45"/>
      <c r="R119" s="45"/>
      <c r="S119" s="45"/>
      <c r="T119" s="45"/>
      <c r="U119" s="45"/>
    </row>
    <row r="120" spans="1:21" hidden="1" x14ac:dyDescent="0.25">
      <c r="A120" s="774" t="s">
        <v>69</v>
      </c>
      <c r="B120" s="774"/>
      <c r="C120" s="90" t="s">
        <v>2</v>
      </c>
      <c r="D120" s="90" t="s">
        <v>2</v>
      </c>
      <c r="E120" s="59" t="s">
        <v>2</v>
      </c>
      <c r="F120" s="774" t="s">
        <v>28</v>
      </c>
      <c r="G120" s="774"/>
      <c r="H120" s="59" t="s">
        <v>28</v>
      </c>
      <c r="I120" s="59" t="s">
        <v>8</v>
      </c>
      <c r="N120" s="874" t="s">
        <v>53</v>
      </c>
      <c r="O120" s="874"/>
      <c r="P120" s="869" t="s">
        <v>66</v>
      </c>
      <c r="Q120" s="869"/>
      <c r="R120" s="874" t="s">
        <v>54</v>
      </c>
      <c r="S120" s="874"/>
      <c r="T120" s="60" t="s">
        <v>55</v>
      </c>
      <c r="U120" s="60" t="s">
        <v>8</v>
      </c>
    </row>
    <row r="121" spans="1:21" hidden="1" x14ac:dyDescent="0.25">
      <c r="A121" s="771" t="s">
        <v>56</v>
      </c>
      <c r="B121" s="771"/>
      <c r="C121" s="141">
        <v>0</v>
      </c>
      <c r="D121" s="141">
        <v>0</v>
      </c>
      <c r="E121" s="187">
        <f>IF(D30=0,C121*2,C121+D121)</f>
        <v>0</v>
      </c>
      <c r="F121" s="772">
        <v>0</v>
      </c>
      <c r="G121" s="772"/>
      <c r="H121" s="223">
        <f>IF(C121=0,0,125)</f>
        <v>0</v>
      </c>
      <c r="I121" s="101">
        <f>ROUND((H121+F121)*E121,2)</f>
        <v>0</v>
      </c>
      <c r="N121" s="834" t="s">
        <v>56</v>
      </c>
      <c r="O121" s="834"/>
      <c r="P121" s="841">
        <f>IF(H$133=1,C121,0)</f>
        <v>0</v>
      </c>
      <c r="Q121" s="841"/>
      <c r="R121" s="875">
        <f>F121</f>
        <v>0</v>
      </c>
      <c r="S121" s="875"/>
      <c r="T121" s="62">
        <f>H121</f>
        <v>0</v>
      </c>
      <c r="U121" s="96">
        <f>ROUND((T121+R121)*P121,0)</f>
        <v>0</v>
      </c>
    </row>
    <row r="122" spans="1:21" hidden="1" x14ac:dyDescent="0.25">
      <c r="A122" s="791" t="s">
        <v>57</v>
      </c>
      <c r="B122" s="791"/>
      <c r="C122" s="143">
        <v>0</v>
      </c>
      <c r="D122" s="143">
        <v>0</v>
      </c>
      <c r="E122" s="116">
        <f>IF(D31=0,C122*2,C122+D122)</f>
        <v>0</v>
      </c>
      <c r="F122" s="808">
        <f>ROUND(F121/2,2)</f>
        <v>0</v>
      </c>
      <c r="G122" s="808"/>
      <c r="H122" s="223">
        <f>IF(C122=0,0,62.5)</f>
        <v>0</v>
      </c>
      <c r="I122" s="101">
        <f>ROUND((H122+F122)*E122,2)</f>
        <v>0</v>
      </c>
      <c r="N122" s="834" t="s">
        <v>57</v>
      </c>
      <c r="O122" s="834"/>
      <c r="P122" s="841">
        <f>IF(H$133=1,C122,0)</f>
        <v>0</v>
      </c>
      <c r="Q122" s="841"/>
      <c r="R122" s="876">
        <f>ROUND(R121/2,2)</f>
        <v>0</v>
      </c>
      <c r="S122" s="876"/>
      <c r="T122" s="62">
        <f>H122</f>
        <v>0</v>
      </c>
      <c r="U122" s="96">
        <f>ROUND((T122+R122)*P122,0)</f>
        <v>0</v>
      </c>
    </row>
    <row r="123" spans="1:21" ht="16.5" hidden="1" thickBot="1" x14ac:dyDescent="0.3">
      <c r="A123" s="791" t="s">
        <v>58</v>
      </c>
      <c r="B123" s="791"/>
      <c r="C123" s="143">
        <v>0</v>
      </c>
      <c r="D123" s="143">
        <v>0</v>
      </c>
      <c r="E123" s="116">
        <f>IF(D32=0,C123*2,C123+D123)</f>
        <v>0</v>
      </c>
      <c r="F123" s="809"/>
      <c r="G123" s="809"/>
      <c r="H123" s="224">
        <f>IF(H121&gt;0,436,0)</f>
        <v>0</v>
      </c>
      <c r="I123" s="101">
        <f>ROUND(H123*E123,2)</f>
        <v>0</v>
      </c>
      <c r="N123" s="836" t="s">
        <v>58</v>
      </c>
      <c r="O123" s="836"/>
      <c r="P123" s="841">
        <f>IF(H$133=1,C123,0)</f>
        <v>0</v>
      </c>
      <c r="Q123" s="841"/>
      <c r="R123" s="874"/>
      <c r="S123" s="874"/>
      <c r="T123" s="64">
        <f>H123</f>
        <v>0</v>
      </c>
      <c r="U123" s="103">
        <f>ROUND(T123*P123,0)</f>
        <v>0</v>
      </c>
    </row>
    <row r="124" spans="1:21" ht="16.5" hidden="1" thickBot="1" x14ac:dyDescent="0.3">
      <c r="A124" s="773" t="s">
        <v>8</v>
      </c>
      <c r="B124" s="773"/>
      <c r="C124" s="65"/>
      <c r="D124" s="65"/>
      <c r="E124" s="65"/>
      <c r="F124" s="65"/>
      <c r="G124" s="65"/>
      <c r="H124" s="65"/>
      <c r="I124" s="97">
        <f>SUM(I121:I123)</f>
        <v>0</v>
      </c>
      <c r="N124" s="813" t="s">
        <v>8</v>
      </c>
      <c r="O124" s="813"/>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94" t="s">
        <v>492</v>
      </c>
      <c r="B126" s="788"/>
      <c r="C126" s="788"/>
      <c r="D126" s="69"/>
      <c r="E126" s="68" t="s">
        <v>34</v>
      </c>
      <c r="F126" s="807"/>
      <c r="G126" s="807"/>
      <c r="H126" s="807"/>
      <c r="I126" s="154">
        <v>0</v>
      </c>
      <c r="N126" s="853" t="s">
        <v>492</v>
      </c>
      <c r="O126" s="834"/>
      <c r="P126" s="834"/>
      <c r="Q126" s="305"/>
      <c r="R126" s="305"/>
      <c r="S126" s="305"/>
      <c r="T126" s="305"/>
      <c r="U126" s="524">
        <f>IF($H$133=1,I126,0)</f>
        <v>0</v>
      </c>
    </row>
    <row r="127" spans="1:21" x14ac:dyDescent="0.25">
      <c r="B127" s="69"/>
      <c r="C127" s="69"/>
      <c r="D127" s="69"/>
      <c r="E127" s="68"/>
      <c r="F127" s="68"/>
      <c r="G127" s="68"/>
      <c r="H127" s="68"/>
      <c r="I127" s="116"/>
      <c r="N127" s="504"/>
      <c r="O127" s="503"/>
      <c r="P127" s="503"/>
      <c r="Q127" s="305"/>
      <c r="R127" s="305"/>
      <c r="S127" s="305"/>
      <c r="T127" s="305"/>
      <c r="U127" s="528"/>
    </row>
    <row r="128" spans="1:21" ht="16.5" thickBot="1" x14ac:dyDescent="0.3">
      <c r="A128" s="800" t="s">
        <v>8</v>
      </c>
      <c r="B128" s="800"/>
      <c r="C128" s="800"/>
      <c r="D128" s="800"/>
      <c r="E128" s="800"/>
      <c r="F128" s="800"/>
      <c r="G128" s="800"/>
      <c r="H128" s="800"/>
      <c r="I128" s="94">
        <f>SUM(I46,I66,I85,I88,I90,I92,I94,I96,I98,I107,I113,I114,I124,I126)</f>
        <v>833754.39999999991</v>
      </c>
      <c r="N128" s="504"/>
      <c r="O128" s="503"/>
      <c r="P128" s="503"/>
      <c r="Q128" s="305"/>
      <c r="R128" s="305"/>
      <c r="S128" s="305"/>
      <c r="T128" s="305"/>
      <c r="U128" s="531">
        <f>SUM(U30,U85,U88,U90,U92,U94,U96,U107,U113,U114,U124,U126)</f>
        <v>0</v>
      </c>
    </row>
    <row r="129" spans="1:21" ht="16.5" thickTop="1" x14ac:dyDescent="0.25">
      <c r="A129" s="26"/>
      <c r="B129" s="26"/>
      <c r="C129" s="26"/>
      <c r="D129" s="26"/>
      <c r="E129" s="26"/>
      <c r="F129" s="26"/>
      <c r="G129" s="26"/>
      <c r="H129" s="26"/>
      <c r="I129" s="101"/>
      <c r="N129" s="504"/>
      <c r="O129" s="503"/>
      <c r="P129" s="503"/>
      <c r="Q129" s="305"/>
      <c r="R129" s="305"/>
      <c r="S129" s="305"/>
      <c r="T129" s="305"/>
      <c r="U129" s="103"/>
    </row>
    <row r="130" spans="1:21" ht="16.5" thickBot="1" x14ac:dyDescent="0.3">
      <c r="A130" s="81" t="s">
        <v>494</v>
      </c>
      <c r="B130" s="26"/>
      <c r="C130" s="26"/>
      <c r="D130" s="26"/>
      <c r="E130" s="26"/>
      <c r="F130" s="26"/>
      <c r="G130" s="26"/>
      <c r="H130" s="26"/>
      <c r="I130" s="101">
        <f>I128-I53</f>
        <v>808111.59999999986</v>
      </c>
      <c r="N130" s="834" t="s">
        <v>494</v>
      </c>
      <c r="O130" s="834"/>
      <c r="P130" s="834"/>
      <c r="Q130" s="834"/>
      <c r="R130" s="834"/>
      <c r="S130" s="834"/>
      <c r="T130" s="83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94" t="s">
        <v>561</v>
      </c>
      <c r="B132" s="788"/>
      <c r="C132" s="788"/>
      <c r="D132" s="788"/>
      <c r="E132" s="788"/>
      <c r="F132" s="788"/>
      <c r="G132" s="788"/>
      <c r="H132" s="81" t="s">
        <v>375</v>
      </c>
      <c r="I132" s="134"/>
      <c r="N132" s="853" t="s">
        <v>561</v>
      </c>
      <c r="O132" s="834"/>
      <c r="P132" s="834"/>
      <c r="Q132" s="834"/>
      <c r="R132" s="834"/>
      <c r="S132" s="834"/>
      <c r="T132" s="834"/>
      <c r="U132" s="138"/>
    </row>
    <row r="133" spans="1:21" x14ac:dyDescent="0.25">
      <c r="A133" s="788" t="s">
        <v>70</v>
      </c>
      <c r="B133" s="788"/>
      <c r="C133" s="788"/>
      <c r="D133" s="788"/>
      <c r="E133" s="788"/>
      <c r="F133" s="788"/>
      <c r="G133" s="788"/>
      <c r="H133" s="70" t="str">
        <f>IF(E30=0,"",IF((E15+E17+SUM(E19:E25))/E30&gt;0.75,1,""))</f>
        <v/>
      </c>
      <c r="I133" s="116">
        <f>U130</f>
        <v>0</v>
      </c>
      <c r="N133" s="834" t="s">
        <v>70</v>
      </c>
      <c r="O133" s="834"/>
      <c r="P133" s="834"/>
      <c r="Q133" s="834"/>
      <c r="R133" s="834"/>
      <c r="S133" s="834"/>
      <c r="T133" s="83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808111.59999999986</v>
      </c>
      <c r="I135" s="94">
        <f>ROUND(IF(E30=0,0,IF(E30&gt;250,-(((250/E30)*H135)*IF(G135="H",0.02,0.05)),IF(G135="H",-0.02*H135,-0.05*H135))),2)</f>
        <v>-40405.58</v>
      </c>
      <c r="N135" s="877"/>
      <c r="O135" s="877"/>
      <c r="P135" s="877"/>
      <c r="Q135" s="877"/>
      <c r="R135" s="877"/>
      <c r="S135" s="877"/>
      <c r="T135" s="877"/>
      <c r="U135" s="877"/>
    </row>
    <row r="136" spans="1:21" x14ac:dyDescent="0.25">
      <c r="B136" s="69"/>
      <c r="C136" s="69"/>
      <c r="D136" s="69"/>
      <c r="E136" s="69"/>
      <c r="F136" s="69"/>
      <c r="G136" s="69"/>
      <c r="H136" s="65"/>
      <c r="I136" s="101"/>
      <c r="N136" s="878" t="s">
        <v>7</v>
      </c>
      <c r="O136" s="878"/>
      <c r="P136" s="878"/>
      <c r="Q136" s="878"/>
      <c r="R136" s="878"/>
      <c r="S136" s="878"/>
      <c r="T136" s="878"/>
      <c r="U136" s="878"/>
    </row>
    <row r="137" spans="1:21" x14ac:dyDescent="0.25">
      <c r="A137" s="308" t="s">
        <v>74</v>
      </c>
      <c r="B137" s="309"/>
      <c r="C137" s="309"/>
      <c r="D137" s="309"/>
      <c r="E137" s="309"/>
      <c r="F137" s="309"/>
      <c r="G137" s="309"/>
      <c r="H137" s="310"/>
      <c r="I137" s="311">
        <f>I128+I135</f>
        <v>793348.82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Payments'!Q118</f>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793348.82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66112.399999999994</v>
      </c>
      <c r="J145" s="2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38"/>
      <c r="C152" s="438"/>
      <c r="D152" s="438"/>
      <c r="E152" s="438"/>
      <c r="F152" s="438"/>
      <c r="G152" s="438"/>
      <c r="H152" s="438"/>
      <c r="I152" s="438"/>
      <c r="J152" s="77"/>
      <c r="K152" s="76"/>
      <c r="L152" s="76"/>
      <c r="M152" s="76"/>
      <c r="N152" s="73"/>
      <c r="O152" s="73"/>
      <c r="P152" s="73"/>
      <c r="Q152" s="73"/>
      <c r="R152" s="73"/>
      <c r="S152" s="73"/>
      <c r="T152" s="73"/>
      <c r="U152" s="73"/>
    </row>
    <row r="153" spans="1:21" ht="15.75" customHeight="1" x14ac:dyDescent="0.25">
      <c r="A153" s="364" t="s">
        <v>434</v>
      </c>
      <c r="B153" s="438"/>
      <c r="C153" s="438"/>
      <c r="D153" s="438"/>
      <c r="E153" s="438"/>
      <c r="F153" s="438"/>
      <c r="G153" s="438"/>
      <c r="H153" s="438"/>
      <c r="I153" s="438"/>
      <c r="J153" s="77"/>
      <c r="K153" s="76"/>
      <c r="L153" s="76"/>
      <c r="M153" s="76"/>
      <c r="N153" s="73"/>
      <c r="O153" s="73"/>
      <c r="P153" s="73"/>
      <c r="Q153" s="73"/>
      <c r="R153" s="73"/>
      <c r="S153" s="73"/>
      <c r="T153" s="73"/>
      <c r="U153" s="73"/>
    </row>
    <row r="154" spans="1:21" x14ac:dyDescent="0.25">
      <c r="A154" s="336" t="s">
        <v>435</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436</v>
      </c>
      <c r="B155" s="251"/>
      <c r="C155" s="251"/>
      <c r="D155" s="251"/>
      <c r="E155" s="251"/>
      <c r="F155" s="251"/>
      <c r="G155" s="251"/>
      <c r="H155" s="251"/>
      <c r="I155" s="251"/>
      <c r="N155" s="879"/>
      <c r="O155" s="879"/>
      <c r="P155" s="879"/>
      <c r="Q155" s="879"/>
      <c r="R155" s="879"/>
      <c r="S155" s="879"/>
      <c r="T155" s="879"/>
      <c r="U155" s="879"/>
    </row>
    <row r="156" spans="1:21" s="76" customFormat="1" x14ac:dyDescent="0.2">
      <c r="A156" s="336" t="s">
        <v>437</v>
      </c>
      <c r="B156" s="251"/>
      <c r="C156" s="251"/>
      <c r="D156" s="251"/>
      <c r="E156" s="251"/>
      <c r="F156" s="251"/>
      <c r="G156" s="251"/>
      <c r="H156" s="251"/>
      <c r="I156" s="251"/>
      <c r="N156" s="73"/>
      <c r="O156" s="73"/>
      <c r="P156" s="73"/>
      <c r="Q156" s="73"/>
      <c r="R156" s="73"/>
      <c r="S156" s="73"/>
      <c r="T156" s="73"/>
      <c r="U156" s="73"/>
    </row>
    <row r="157" spans="1:21" s="76" customFormat="1" x14ac:dyDescent="0.2">
      <c r="A157" s="336" t="s">
        <v>438</v>
      </c>
      <c r="B157" s="251"/>
      <c r="C157" s="251"/>
      <c r="D157" s="251"/>
      <c r="E157" s="251"/>
      <c r="F157" s="251"/>
      <c r="G157" s="251"/>
      <c r="H157" s="251"/>
      <c r="I157" s="251"/>
      <c r="N157" s="78"/>
      <c r="O157" s="79"/>
      <c r="P157" s="79"/>
      <c r="Q157" s="79"/>
      <c r="R157" s="79"/>
      <c r="S157" s="79"/>
      <c r="T157" s="79"/>
      <c r="U157" s="79"/>
    </row>
    <row r="158" spans="1:21" s="76" customFormat="1" x14ac:dyDescent="0.2">
      <c r="A158" s="336" t="s">
        <v>439</v>
      </c>
      <c r="B158" s="251"/>
      <c r="C158" s="251"/>
      <c r="D158" s="251"/>
      <c r="E158" s="251"/>
      <c r="F158" s="251"/>
      <c r="G158" s="251"/>
      <c r="H158" s="251"/>
      <c r="I158" s="251"/>
      <c r="N158" s="78"/>
    </row>
    <row r="159" spans="1:21" s="76" customFormat="1" x14ac:dyDescent="0.2">
      <c r="A159" s="336" t="s">
        <v>441</v>
      </c>
      <c r="B159" s="251"/>
      <c r="C159" s="251"/>
      <c r="D159" s="251"/>
      <c r="E159" s="251"/>
      <c r="F159" s="251"/>
      <c r="G159" s="251"/>
      <c r="H159" s="251"/>
      <c r="I159" s="251"/>
      <c r="N159" s="78"/>
    </row>
    <row r="160" spans="1:21" s="76" customFormat="1" x14ac:dyDescent="0.2">
      <c r="A160" s="437" t="s">
        <v>440</v>
      </c>
      <c r="B160" s="251"/>
      <c r="C160" s="251"/>
      <c r="D160" s="251"/>
      <c r="E160" s="251"/>
      <c r="F160" s="251"/>
      <c r="G160" s="251"/>
      <c r="H160" s="251"/>
      <c r="I160" s="251"/>
      <c r="N160" s="78"/>
    </row>
    <row r="161" spans="1:14" s="76" customFormat="1" x14ac:dyDescent="0.2">
      <c r="A161" s="336" t="s">
        <v>442</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445</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447</v>
      </c>
      <c r="B165" s="292"/>
      <c r="C165" s="292"/>
      <c r="D165" s="292"/>
      <c r="E165" s="292"/>
      <c r="F165" s="292"/>
      <c r="G165" s="292"/>
      <c r="H165" s="292"/>
      <c r="I165" s="292"/>
      <c r="N165" s="78"/>
    </row>
    <row r="166" spans="1:14" s="76" customFormat="1" ht="15.75" customHeight="1" x14ac:dyDescent="0.2">
      <c r="A166" s="364" t="s">
        <v>446</v>
      </c>
      <c r="B166" s="292"/>
      <c r="C166" s="292"/>
      <c r="D166" s="292"/>
      <c r="E166" s="292"/>
      <c r="F166" s="292"/>
      <c r="G166" s="292"/>
      <c r="H166" s="292"/>
      <c r="I166" s="292"/>
      <c r="N166" s="78"/>
    </row>
    <row r="167" spans="1:14" s="76" customFormat="1" ht="15.75" customHeight="1" x14ac:dyDescent="0.2">
      <c r="A167" s="336" t="s">
        <v>448</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450</v>
      </c>
      <c r="B169" s="356"/>
      <c r="C169" s="356"/>
      <c r="D169" s="356"/>
      <c r="E169" s="356"/>
      <c r="F169" s="356"/>
      <c r="G169" s="356"/>
      <c r="H169" s="356"/>
      <c r="I169" s="356"/>
      <c r="N169" s="78"/>
    </row>
    <row r="170" spans="1:14" s="76" customFormat="1" ht="15.75" customHeight="1" x14ac:dyDescent="0.2">
      <c r="A170" s="364" t="s">
        <v>449</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451</v>
      </c>
      <c r="B175" s="292"/>
      <c r="C175" s="292"/>
      <c r="D175" s="292"/>
      <c r="E175" s="292"/>
      <c r="F175" s="292"/>
      <c r="G175" s="292"/>
      <c r="H175" s="292"/>
      <c r="I175" s="292"/>
      <c r="J175" s="3"/>
      <c r="K175" s="3"/>
      <c r="L175" s="3"/>
      <c r="M175" s="3"/>
      <c r="N175" s="78"/>
    </row>
    <row r="176" spans="1:14" s="76" customFormat="1" ht="15.75" customHeight="1" x14ac:dyDescent="0.2">
      <c r="A176" s="374" t="s">
        <v>452</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273</v>
      </c>
      <c r="C2" s="171"/>
      <c r="D2" s="171"/>
      <c r="E2" s="161"/>
      <c r="F2" s="161"/>
      <c r="G2" s="161"/>
      <c r="H2" s="161"/>
    </row>
    <row r="3" spans="1:11" x14ac:dyDescent="0.25">
      <c r="B3" s="172" t="s">
        <v>258</v>
      </c>
      <c r="C3" s="172"/>
      <c r="D3" s="172"/>
      <c r="E3" s="282" t="str">
        <f>'1461'!F4</f>
        <v>July 2025</v>
      </c>
      <c r="F3" s="157"/>
      <c r="G3" s="157"/>
      <c r="H3" s="157"/>
    </row>
    <row r="4" spans="1:11" x14ac:dyDescent="0.25">
      <c r="A4" s="158"/>
      <c r="B4" s="158"/>
      <c r="C4" s="158"/>
      <c r="D4" s="158"/>
      <c r="E4" s="158"/>
      <c r="F4" s="158"/>
      <c r="G4" s="158"/>
      <c r="H4" s="158"/>
    </row>
    <row r="5" spans="1:11" x14ac:dyDescent="0.25">
      <c r="A5" s="158"/>
      <c r="B5" s="162" t="s">
        <v>135</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136</v>
      </c>
      <c r="F7" s="158"/>
      <c r="G7" s="158"/>
      <c r="H7" s="158"/>
    </row>
    <row r="8" spans="1:11" x14ac:dyDescent="0.25">
      <c r="A8" s="158"/>
      <c r="B8" s="173" t="s">
        <v>148</v>
      </c>
      <c r="C8" s="173"/>
      <c r="D8" s="173"/>
      <c r="E8" s="244">
        <v>885681905</v>
      </c>
      <c r="F8" s="158"/>
      <c r="G8" s="158"/>
      <c r="H8" s="158"/>
      <c r="K8" s="248" t="s">
        <v>266</v>
      </c>
    </row>
    <row r="9" spans="1:11" x14ac:dyDescent="0.25">
      <c r="A9" s="158"/>
      <c r="B9" s="173" t="s">
        <v>236</v>
      </c>
      <c r="C9" s="173"/>
      <c r="D9" s="173"/>
      <c r="E9" s="244">
        <v>0</v>
      </c>
      <c r="F9" s="158"/>
      <c r="G9" s="158"/>
      <c r="H9" s="158"/>
      <c r="K9" s="248" t="s">
        <v>266</v>
      </c>
    </row>
    <row r="10" spans="1:11" x14ac:dyDescent="0.25">
      <c r="A10" s="158"/>
      <c r="B10" s="162" t="s">
        <v>137</v>
      </c>
      <c r="C10" s="162"/>
      <c r="D10" s="162"/>
      <c r="E10" s="244">
        <v>126865223</v>
      </c>
      <c r="F10" s="158"/>
      <c r="G10" s="158"/>
      <c r="H10" s="158"/>
      <c r="K10" s="248" t="s">
        <v>266</v>
      </c>
    </row>
    <row r="11" spans="1:11" x14ac:dyDescent="0.25">
      <c r="A11" s="158"/>
      <c r="B11" s="162" t="s">
        <v>138</v>
      </c>
      <c r="C11" s="162"/>
      <c r="D11" s="162"/>
      <c r="E11" s="244">
        <v>0</v>
      </c>
      <c r="F11" s="158"/>
      <c r="G11" s="158"/>
      <c r="H11" s="158"/>
      <c r="K11" s="248" t="s">
        <v>266</v>
      </c>
    </row>
    <row r="12" spans="1:11" x14ac:dyDescent="0.25">
      <c r="A12" s="158"/>
      <c r="B12" s="162" t="s">
        <v>139</v>
      </c>
      <c r="C12" s="162"/>
      <c r="D12" s="162"/>
      <c r="E12" s="244">
        <v>8613749</v>
      </c>
      <c r="F12" s="158"/>
      <c r="G12" s="158"/>
      <c r="H12" s="158"/>
      <c r="K12" s="248" t="s">
        <v>266</v>
      </c>
    </row>
    <row r="13" spans="1:11" x14ac:dyDescent="0.25">
      <c r="A13" s="158"/>
      <c r="B13" s="162" t="s">
        <v>140</v>
      </c>
      <c r="C13" s="162"/>
      <c r="D13" s="162"/>
      <c r="E13" s="244">
        <v>14865036</v>
      </c>
      <c r="F13" s="158"/>
      <c r="G13" s="158"/>
      <c r="H13" s="158"/>
      <c r="K13" s="248" t="s">
        <v>266</v>
      </c>
    </row>
    <row r="14" spans="1:11" x14ac:dyDescent="0.25">
      <c r="A14" s="158"/>
      <c r="B14" s="184" t="s">
        <v>8</v>
      </c>
      <c r="C14" s="162" t="s">
        <v>150</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149</v>
      </c>
      <c r="C16" s="173" t="s">
        <v>3</v>
      </c>
      <c r="D16" s="173"/>
      <c r="E16" s="245">
        <v>187935.23</v>
      </c>
      <c r="F16" s="158"/>
      <c r="G16" s="158"/>
      <c r="H16" s="158"/>
      <c r="K16" s="248" t="s">
        <v>266</v>
      </c>
    </row>
    <row r="17" spans="1:8" x14ac:dyDescent="0.25">
      <c r="A17" s="158"/>
      <c r="B17" s="173"/>
      <c r="C17" s="173"/>
      <c r="D17" s="173"/>
      <c r="E17" s="175"/>
      <c r="F17" s="158"/>
      <c r="G17" s="158"/>
      <c r="H17" s="158"/>
    </row>
    <row r="18" spans="1:8" x14ac:dyDescent="0.25">
      <c r="A18" s="158"/>
      <c r="B18" s="162" t="s">
        <v>141</v>
      </c>
      <c r="C18" s="162" t="s">
        <v>151</v>
      </c>
      <c r="D18" s="162"/>
      <c r="E18" s="176">
        <f>ROUND(E14/E16,2)</f>
        <v>5512.68</v>
      </c>
      <c r="F18" s="158"/>
      <c r="G18" s="158"/>
      <c r="H18" s="158"/>
    </row>
    <row r="19" spans="1:8" x14ac:dyDescent="0.25">
      <c r="A19" s="158"/>
      <c r="B19" s="162" t="s">
        <v>142</v>
      </c>
      <c r="C19" s="162"/>
      <c r="D19" s="162"/>
      <c r="E19" s="179">
        <f>IF(E18&gt;5230,0,5230-E18)</f>
        <v>0</v>
      </c>
      <c r="F19" s="158"/>
      <c r="G19" s="158"/>
      <c r="H19" s="158"/>
    </row>
    <row r="20" spans="1:8" x14ac:dyDescent="0.25">
      <c r="A20" s="158"/>
      <c r="B20" s="162" t="s">
        <v>143</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8" t="s">
        <v>244</v>
      </c>
      <c r="C22" s="167"/>
      <c r="D22" s="167"/>
      <c r="E22" s="246">
        <v>0</v>
      </c>
      <c r="F22" s="158"/>
      <c r="G22" s="158"/>
      <c r="H22" s="158"/>
    </row>
    <row r="23" spans="1:8" x14ac:dyDescent="0.25">
      <c r="A23" s="158"/>
      <c r="B23" s="258" t="s">
        <v>245</v>
      </c>
      <c r="C23" s="167"/>
      <c r="D23" s="167"/>
      <c r="E23" s="247">
        <v>0</v>
      </c>
      <c r="F23" s="158"/>
      <c r="G23" s="158"/>
      <c r="H23" s="158"/>
    </row>
    <row r="24" spans="1:8" x14ac:dyDescent="0.25">
      <c r="A24" s="158"/>
      <c r="B24" s="167" t="s">
        <v>144</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145</v>
      </c>
      <c r="C26" s="162"/>
      <c r="D26" s="162"/>
      <c r="E26" s="183">
        <f>E20*E24</f>
        <v>0</v>
      </c>
      <c r="F26" s="158"/>
      <c r="G26" s="158"/>
      <c r="H26" s="158"/>
    </row>
    <row r="27" spans="1:8" x14ac:dyDescent="0.25">
      <c r="A27" s="158"/>
      <c r="B27" s="173" t="s">
        <v>152</v>
      </c>
      <c r="C27" s="162"/>
      <c r="D27" s="162"/>
      <c r="E27" s="169">
        <v>0.7</v>
      </c>
      <c r="F27" s="158"/>
      <c r="G27" s="158"/>
      <c r="H27" s="158"/>
    </row>
    <row r="28" spans="1:8" x14ac:dyDescent="0.25">
      <c r="A28" s="158"/>
      <c r="B28" s="162" t="s">
        <v>146</v>
      </c>
      <c r="C28" s="162"/>
      <c r="D28" s="162"/>
      <c r="E28" s="183">
        <f>ROUND(E26*E27,2)</f>
        <v>0</v>
      </c>
      <c r="F28" s="158"/>
      <c r="G28" s="158"/>
      <c r="H28" s="158"/>
    </row>
    <row r="29" spans="1:8" x14ac:dyDescent="0.25">
      <c r="A29" s="158"/>
      <c r="B29" s="162" t="s">
        <v>147</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49">
        <v>0</v>
      </c>
      <c r="F32" s="158"/>
      <c r="G32" s="166"/>
      <c r="H32" s="158"/>
    </row>
    <row r="33" spans="1:8" x14ac:dyDescent="0.25">
      <c r="A33" s="158"/>
      <c r="B33" s="3"/>
      <c r="C33" s="162"/>
      <c r="D33" s="162"/>
      <c r="E33" s="267"/>
      <c r="F33" s="158"/>
      <c r="G33" s="166"/>
      <c r="H33" s="158"/>
    </row>
    <row r="34" spans="1:8" x14ac:dyDescent="0.25">
      <c r="A34" s="158"/>
      <c r="B34" s="3" t="s">
        <v>246</v>
      </c>
      <c r="C34" s="162"/>
      <c r="D34" s="162"/>
      <c r="E34" s="267">
        <f>E30+E32</f>
        <v>0</v>
      </c>
      <c r="F34" s="158"/>
      <c r="G34" s="166"/>
      <c r="H34" s="158"/>
    </row>
    <row r="35" spans="1:8" x14ac:dyDescent="0.25">
      <c r="A35" s="158"/>
      <c r="B35" s="3"/>
      <c r="C35" s="162"/>
      <c r="D35" s="162"/>
      <c r="E35" s="267"/>
      <c r="F35" s="158"/>
      <c r="G35" s="166"/>
      <c r="H35" s="158"/>
    </row>
    <row r="36" spans="1:8" x14ac:dyDescent="0.25">
      <c r="A36" s="158"/>
      <c r="B36" s="3" t="s">
        <v>248</v>
      </c>
      <c r="C36" s="185"/>
      <c r="D36" s="185"/>
      <c r="E36" s="274">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8">
        <f>IF(E36=0,0,ROUND(E34/E36,2))</f>
        <v>0</v>
      </c>
      <c r="F38" s="158"/>
      <c r="G38" s="158"/>
      <c r="H38" s="158"/>
    </row>
    <row r="39" spans="1:8" ht="16.5" thickTop="1" x14ac:dyDescent="0.25"/>
    <row r="41" spans="1:8" x14ac:dyDescent="0.25">
      <c r="A41" s="293" t="s">
        <v>269</v>
      </c>
      <c r="B41" s="294"/>
      <c r="C41" s="294"/>
      <c r="D41" s="294"/>
      <c r="E41" s="294"/>
    </row>
    <row r="42" spans="1:8" x14ac:dyDescent="0.25">
      <c r="A42" s="293" t="s">
        <v>270</v>
      </c>
      <c r="B42" s="294"/>
      <c r="C42" s="294"/>
      <c r="D42" s="294"/>
      <c r="E42" s="294"/>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10</vt:i4>
      </vt:variant>
    </vt:vector>
  </HeadingPairs>
  <TitlesOfParts>
    <vt:vector size="66" baseType="lpstr">
      <vt:lpstr>Surveys</vt:lpstr>
      <vt:lpstr>Net Payment</vt:lpstr>
      <vt:lpstr>Annual Rev &amp; Fees</vt:lpstr>
      <vt:lpstr>Charter Schools</vt:lpstr>
      <vt:lpstr>Consolidated</vt:lpstr>
      <vt:lpstr>Cumulative Payments</vt:lpstr>
      <vt:lpstr>0040</vt:lpstr>
      <vt:lpstr>0100</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'0040'!Print_Area</vt:lpstr>
      <vt:lpstr>'0100'!Print_Area</vt:lpstr>
      <vt:lpstr>'1461'!Print_Area</vt:lpstr>
      <vt:lpstr>Consolidated!Print_Area</vt:lpstr>
      <vt:lpstr>'Net Payment'!Print_Area</vt:lpstr>
      <vt:lpstr>Virtual!Print_Area</vt:lpstr>
      <vt:lpstr>'0040'!Print_Titles</vt:lpstr>
      <vt:lpstr>'0100'!Print_Titles</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2025-05-06T15:34:38Z</cp:lastPrinted>
  <dcterms:created xsi:type="dcterms:W3CDTF">1998-02-12T20:21:54Z</dcterms:created>
  <dcterms:modified xsi:type="dcterms:W3CDTF">2025-07-10T16:57:06Z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