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Charter School Website\"/>
    </mc:Choice>
  </mc:AlternateContent>
  <xr:revisionPtr revIDLastSave="0" documentId="8_{787F4530-1455-426F-88C9-E2C1BE0A4042}" xr6:coauthVersionLast="47" xr6:coauthVersionMax="47" xr10:uidLastSave="{00000000-0000-0000-0000-000000000000}"/>
  <workbookProtection workbookAlgorithmName="SHA-512" workbookHashValue="w2ZuGKZUlQrrNW8etFuA3OYaamVxebSakmmMQ44hGSh25dqDvRLul/fAK9qGkB+PzYr7SarCCI8nCKNR0YT1Dg==" workbookSaltValue="CO6UD+JMvv46nsMK7R5fow==" workbookSpinCount="100000" lockStructure="1"/>
  <bookViews>
    <workbookView xWindow="22932" yWindow="-108" windowWidth="23256" windowHeight="12576" tabRatio="774" activeTab="1" xr2:uid="{00000000-000D-0000-FFFF-FFFF00000000}"/>
  </bookViews>
  <sheets>
    <sheet name="Instructions" sheetId="2" r:id="rId1"/>
    <sheet name="Budget" sheetId="1" r:id="rId2"/>
    <sheet name="Formula Ref &amp; Validation Data" sheetId="14" state="hidden" r:id="rId3"/>
    <sheet name="Cash Balances" sheetId="3" r:id="rId4"/>
    <sheet name="Cash Flow Proj Planning Yr" sheetId="15" r:id="rId5"/>
    <sheet name="Cash Flow Projection Yr 1" sheetId="5" r:id="rId6"/>
    <sheet name="Cash Flow Projection Yr 2" sheetId="16" r:id="rId7"/>
  </sheets>
  <definedNames>
    <definedName name="BudgetAss1">Budget!$C$4:$H$8</definedName>
    <definedName name="BudgetAss2">Budget!$C$10:$H$14</definedName>
    <definedName name="BudgetAss3">Budget!$C$16:$H$28</definedName>
    <definedName name="BudgetCont">Budget!$B$134:$G$134</definedName>
    <definedName name="BudgetFacs">Budget!$A$125:$H$131</definedName>
    <definedName name="BudgetInst">Budget!$A$77:$H$91</definedName>
    <definedName name="BudgetPers">Budget!$A$57:$H$74</definedName>
    <definedName name="BudgetRev1">Budget!$A$46:$A$53</definedName>
    <definedName name="BudgetRev2">Budget!$C$45:$G$45</definedName>
    <definedName name="BudgetRev3">Budget!$B$46:$G$53</definedName>
    <definedName name="BudgetSrvs1">Budget!$A$94:$H$120</definedName>
    <definedName name="BudgetSrvs2">Budget!#REF!</definedName>
    <definedName name="BudgetSrvs3">Budget!$A$121:$H$122</definedName>
    <definedName name="BudgetYrs">Budget!$B$1:$G$2</definedName>
    <definedName name="Cont" localSheetId="4">'Cash Flow Proj Planning Yr'!#REF!</definedName>
    <definedName name="Cont" localSheetId="6">'Cash Flow Projection Yr 2'!#REF!</definedName>
    <definedName name="Cont">'Cash Flow Projection Yr 1'!#REF!</definedName>
    <definedName name="Facs" localSheetId="4">'Cash Flow Proj Planning Yr'!$B$87:$M$93</definedName>
    <definedName name="Facs" localSheetId="6">'Cash Flow Projection Yr 2'!$B$87:$M$93</definedName>
    <definedName name="Facs">'Cash Flow Projection Yr 1'!$B$87:$M$93</definedName>
    <definedName name="Fin" localSheetId="4">'Cash Flow Proj Planning Yr'!#REF!</definedName>
    <definedName name="Fin" localSheetId="6">'Cash Flow Projection Yr 2'!#REF!</definedName>
    <definedName name="Fin">'Cash Flow Projection Yr 1'!#REF!</definedName>
    <definedName name="Inst" localSheetId="4">'Cash Flow Proj Planning Yr'!$B$39:$M$53</definedName>
    <definedName name="Inst" localSheetId="6">'Cash Flow Projection Yr 2'!$B$39:$M$53</definedName>
    <definedName name="Inst">'Cash Flow Projection Yr 1'!$B$39:$M$53</definedName>
    <definedName name="Pers" localSheetId="4">'Cash Flow Proj Planning Yr'!$B$19:$M$36</definedName>
    <definedName name="Pers" localSheetId="6">'Cash Flow Projection Yr 2'!$B$19:$M$36</definedName>
    <definedName name="Pers">'Cash Flow Projection Yr 1'!$B$19:$M$36</definedName>
    <definedName name="_xlnm.Print_Area" localSheetId="1">Budget!$A$1:$H$233</definedName>
    <definedName name="_xlnm.Print_Area" localSheetId="0">Instructions!$A$1:$I$123</definedName>
    <definedName name="_xlnm.Print_Titles" localSheetId="1">Budget!$1:$2</definedName>
    <definedName name="_xlnm.Print_Titles" localSheetId="4">'Cash Flow Proj Planning Yr'!$1:$3</definedName>
    <definedName name="_xlnm.Print_Titles" localSheetId="5">'Cash Flow Projection Yr 1'!$1:$3</definedName>
    <definedName name="_xlnm.Print_Titles" localSheetId="6">'Cash Flow Projection Yr 2'!$1:$2</definedName>
    <definedName name="Revs" localSheetId="4">'Cash Flow Proj Planning Yr'!$B$7:$M$15</definedName>
    <definedName name="Revs" localSheetId="6">'Cash Flow Projection Yr 2'!$B$7:$M$15</definedName>
    <definedName name="Revs">'Cash Flow Projection Yr 1'!$B$7:$M$15</definedName>
    <definedName name="Servs" localSheetId="4">'Cash Flow Proj Planning Yr'!$B$56:$M$84</definedName>
    <definedName name="Servs" localSheetId="6">'Cash Flow Projection Yr 2'!$B$56:$M$84</definedName>
    <definedName name="Servs">'Cash Flow Projection Yr 1'!$B$56:$M$84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1" i="16" l="1"/>
  <c r="E61" i="16" s="1"/>
  <c r="F61" i="16" s="1"/>
  <c r="G61" i="16" s="1"/>
  <c r="H61" i="16" s="1"/>
  <c r="I61" i="16" s="1"/>
  <c r="J61" i="16" s="1"/>
  <c r="K61" i="16" s="1"/>
  <c r="L61" i="16" s="1"/>
  <c r="M61" i="16" s="1"/>
  <c r="C61" i="16"/>
  <c r="B61" i="16"/>
  <c r="E47" i="16"/>
  <c r="F47" i="16" s="1"/>
  <c r="G47" i="16" s="1"/>
  <c r="H47" i="16" s="1"/>
  <c r="I47" i="16" s="1"/>
  <c r="J47" i="16" s="1"/>
  <c r="K47" i="16" s="1"/>
  <c r="L47" i="16" s="1"/>
  <c r="M47" i="16" s="1"/>
  <c r="D47" i="16"/>
  <c r="C47" i="16"/>
  <c r="B47" i="16"/>
  <c r="C68" i="16"/>
  <c r="C46" i="16"/>
  <c r="C28" i="16"/>
  <c r="C28" i="5"/>
  <c r="B68" i="5"/>
  <c r="C30" i="16"/>
  <c r="C30" i="5"/>
  <c r="C27" i="16"/>
  <c r="C27" i="5"/>
  <c r="D27" i="5" s="1"/>
  <c r="E27" i="5" s="1"/>
  <c r="F27" i="5" s="1"/>
  <c r="G27" i="5" s="1"/>
  <c r="H27" i="5" s="1"/>
  <c r="I27" i="5" s="1"/>
  <c r="J27" i="5" s="1"/>
  <c r="K27" i="5" s="1"/>
  <c r="L27" i="5" s="1"/>
  <c r="M27" i="5" s="1"/>
  <c r="G96" i="1"/>
  <c r="F96" i="1"/>
  <c r="E96" i="1"/>
  <c r="D96" i="1"/>
  <c r="C96" i="1"/>
  <c r="G99" i="1"/>
  <c r="F99" i="1"/>
  <c r="E99" i="1"/>
  <c r="D99" i="1"/>
  <c r="C99" i="1"/>
  <c r="E83" i="1"/>
  <c r="D83" i="1"/>
  <c r="C83" i="1"/>
  <c r="E71" i="16"/>
  <c r="F71" i="16" s="1"/>
  <c r="G71" i="16" s="1"/>
  <c r="H71" i="16" s="1"/>
  <c r="I71" i="16" s="1"/>
  <c r="J71" i="16" s="1"/>
  <c r="K71" i="16" s="1"/>
  <c r="L71" i="16" s="1"/>
  <c r="M71" i="16" s="1"/>
  <c r="D71" i="16"/>
  <c r="C71" i="16"/>
  <c r="C71" i="5"/>
  <c r="D71" i="5" s="1"/>
  <c r="E71" i="5" s="1"/>
  <c r="F71" i="5" s="1"/>
  <c r="G71" i="5" s="1"/>
  <c r="H71" i="5" s="1"/>
  <c r="I71" i="5" s="1"/>
  <c r="J71" i="5" s="1"/>
  <c r="K71" i="5" s="1"/>
  <c r="L71" i="5" s="1"/>
  <c r="M71" i="5" s="1"/>
  <c r="C59" i="5"/>
  <c r="D59" i="5" s="1"/>
  <c r="E59" i="5" s="1"/>
  <c r="F59" i="5" s="1"/>
  <c r="G59" i="5" s="1"/>
  <c r="H59" i="5" s="1"/>
  <c r="I59" i="5" s="1"/>
  <c r="J59" i="5" s="1"/>
  <c r="K59" i="5" s="1"/>
  <c r="L59" i="5" s="1"/>
  <c r="M59" i="5" s="1"/>
  <c r="C47" i="5"/>
  <c r="D47" i="5" s="1"/>
  <c r="E47" i="5" s="1"/>
  <c r="F47" i="5" s="1"/>
  <c r="G47" i="5" s="1"/>
  <c r="H47" i="5" s="1"/>
  <c r="I47" i="5" s="1"/>
  <c r="J47" i="5" s="1"/>
  <c r="K47" i="5" s="1"/>
  <c r="L47" i="5" s="1"/>
  <c r="M47" i="5" s="1"/>
  <c r="L77" i="16"/>
  <c r="K77" i="16"/>
  <c r="J77" i="16"/>
  <c r="I77" i="16"/>
  <c r="H77" i="16"/>
  <c r="G77" i="16"/>
  <c r="F77" i="16"/>
  <c r="E77" i="16"/>
  <c r="D77" i="16"/>
  <c r="C77" i="16"/>
  <c r="C76" i="5"/>
  <c r="D76" i="5" s="1"/>
  <c r="E76" i="5" s="1"/>
  <c r="F76" i="5" s="1"/>
  <c r="G76" i="5" s="1"/>
  <c r="H76" i="5" s="1"/>
  <c r="I76" i="5" s="1"/>
  <c r="J76" i="5" s="1"/>
  <c r="K76" i="5" s="1"/>
  <c r="L76" i="5" s="1"/>
  <c r="J77" i="5"/>
  <c r="H77" i="5"/>
  <c r="L77" i="5"/>
  <c r="K77" i="5"/>
  <c r="I77" i="5"/>
  <c r="G77" i="5"/>
  <c r="F77" i="5"/>
  <c r="E77" i="5"/>
  <c r="D77" i="5"/>
  <c r="C77" i="5"/>
  <c r="G119" i="1"/>
  <c r="F119" i="1"/>
  <c r="E119" i="1"/>
  <c r="D119" i="1"/>
  <c r="C110" i="1"/>
  <c r="G109" i="1"/>
  <c r="F109" i="1"/>
  <c r="E109" i="1"/>
  <c r="D109" i="1"/>
  <c r="C109" i="1"/>
  <c r="C76" i="16" l="1"/>
  <c r="G111" i="1"/>
  <c r="F111" i="1"/>
  <c r="E111" i="1"/>
  <c r="D111" i="1"/>
  <c r="C111" i="1"/>
  <c r="D91" i="16"/>
  <c r="E91" i="16" s="1"/>
  <c r="F91" i="16" s="1"/>
  <c r="G91" i="16" s="1"/>
  <c r="H91" i="16" s="1"/>
  <c r="I91" i="16" s="1"/>
  <c r="J91" i="16" s="1"/>
  <c r="K91" i="16" s="1"/>
  <c r="L91" i="16" s="1"/>
  <c r="M91" i="16" s="1"/>
  <c r="C91" i="16"/>
  <c r="B91" i="16"/>
  <c r="D90" i="16"/>
  <c r="E90" i="16" s="1"/>
  <c r="F90" i="16" s="1"/>
  <c r="G90" i="16" s="1"/>
  <c r="H90" i="16" s="1"/>
  <c r="I90" i="16" s="1"/>
  <c r="J90" i="16" s="1"/>
  <c r="K90" i="16" s="1"/>
  <c r="L90" i="16" s="1"/>
  <c r="M90" i="16" s="1"/>
  <c r="C90" i="16"/>
  <c r="B90" i="16"/>
  <c r="D89" i="16"/>
  <c r="E89" i="16" s="1"/>
  <c r="F89" i="16" s="1"/>
  <c r="G89" i="16" s="1"/>
  <c r="H89" i="16" s="1"/>
  <c r="I89" i="16" s="1"/>
  <c r="J89" i="16" s="1"/>
  <c r="K89" i="16" s="1"/>
  <c r="L89" i="16" s="1"/>
  <c r="M89" i="16" s="1"/>
  <c r="C89" i="16"/>
  <c r="B89" i="16"/>
  <c r="D88" i="16"/>
  <c r="E88" i="16" s="1"/>
  <c r="F88" i="16" s="1"/>
  <c r="G88" i="16" s="1"/>
  <c r="H88" i="16" s="1"/>
  <c r="I88" i="16" s="1"/>
  <c r="J88" i="16" s="1"/>
  <c r="K88" i="16" s="1"/>
  <c r="L88" i="16" s="1"/>
  <c r="M88" i="16" s="1"/>
  <c r="C88" i="16"/>
  <c r="B88" i="16"/>
  <c r="D87" i="16"/>
  <c r="E87" i="16" s="1"/>
  <c r="F87" i="16" s="1"/>
  <c r="G87" i="16" s="1"/>
  <c r="H87" i="16" s="1"/>
  <c r="I87" i="16" s="1"/>
  <c r="J87" i="16" s="1"/>
  <c r="K87" i="16" s="1"/>
  <c r="L87" i="16" s="1"/>
  <c r="M87" i="16" s="1"/>
  <c r="C87" i="16"/>
  <c r="B87" i="16"/>
  <c r="D82" i="16"/>
  <c r="E82" i="16" s="1"/>
  <c r="F82" i="16" s="1"/>
  <c r="G82" i="16" s="1"/>
  <c r="H82" i="16" s="1"/>
  <c r="I82" i="16" s="1"/>
  <c r="J82" i="16" s="1"/>
  <c r="K82" i="16" s="1"/>
  <c r="L82" i="16" s="1"/>
  <c r="M82" i="16" s="1"/>
  <c r="C82" i="16"/>
  <c r="B82" i="16"/>
  <c r="B80" i="16"/>
  <c r="C80" i="16" s="1"/>
  <c r="D80" i="16" s="1"/>
  <c r="E80" i="16" s="1"/>
  <c r="F80" i="16" s="1"/>
  <c r="G80" i="16" s="1"/>
  <c r="H80" i="16" s="1"/>
  <c r="I80" i="16" s="1"/>
  <c r="J80" i="16" s="1"/>
  <c r="K80" i="16" s="1"/>
  <c r="L80" i="16" s="1"/>
  <c r="M80" i="16" s="1"/>
  <c r="C79" i="16"/>
  <c r="D79" i="16" s="1"/>
  <c r="E79" i="16" s="1"/>
  <c r="F79" i="16" s="1"/>
  <c r="G79" i="16" s="1"/>
  <c r="H79" i="16" s="1"/>
  <c r="I79" i="16" s="1"/>
  <c r="J79" i="16" s="1"/>
  <c r="K79" i="16" s="1"/>
  <c r="L79" i="16" s="1"/>
  <c r="M79" i="16" s="1"/>
  <c r="B79" i="16"/>
  <c r="B78" i="16"/>
  <c r="C78" i="16" s="1"/>
  <c r="D78" i="16" s="1"/>
  <c r="E78" i="16" s="1"/>
  <c r="F78" i="16" s="1"/>
  <c r="G78" i="16" s="1"/>
  <c r="H78" i="16" s="1"/>
  <c r="I78" i="16" s="1"/>
  <c r="J78" i="16" s="1"/>
  <c r="K78" i="16" s="1"/>
  <c r="L78" i="16" s="1"/>
  <c r="M78" i="16" s="1"/>
  <c r="D76" i="16"/>
  <c r="E76" i="16" s="1"/>
  <c r="F76" i="16" s="1"/>
  <c r="G76" i="16" s="1"/>
  <c r="H76" i="16" s="1"/>
  <c r="I76" i="16" s="1"/>
  <c r="J76" i="16" s="1"/>
  <c r="K76" i="16" s="1"/>
  <c r="L76" i="16" s="1"/>
  <c r="D75" i="16"/>
  <c r="E75" i="16" s="1"/>
  <c r="F75" i="16" s="1"/>
  <c r="G75" i="16" s="1"/>
  <c r="H75" i="16" s="1"/>
  <c r="I75" i="16" s="1"/>
  <c r="J75" i="16" s="1"/>
  <c r="K75" i="16" s="1"/>
  <c r="L75" i="16" s="1"/>
  <c r="M75" i="16" s="1"/>
  <c r="C75" i="16"/>
  <c r="B75" i="16"/>
  <c r="D74" i="16"/>
  <c r="E74" i="16" s="1"/>
  <c r="F74" i="16" s="1"/>
  <c r="G74" i="16" s="1"/>
  <c r="H74" i="16" s="1"/>
  <c r="I74" i="16" s="1"/>
  <c r="J74" i="16" s="1"/>
  <c r="K74" i="16" s="1"/>
  <c r="L74" i="16" s="1"/>
  <c r="M74" i="16" s="1"/>
  <c r="C74" i="16"/>
  <c r="B74" i="16"/>
  <c r="D68" i="16"/>
  <c r="E68" i="16" s="1"/>
  <c r="F68" i="16" s="1"/>
  <c r="G68" i="16" s="1"/>
  <c r="H68" i="16" s="1"/>
  <c r="I68" i="16" s="1"/>
  <c r="J68" i="16" s="1"/>
  <c r="K68" i="16" s="1"/>
  <c r="L68" i="16" s="1"/>
  <c r="M68" i="16" s="1"/>
  <c r="C67" i="16"/>
  <c r="D67" i="16"/>
  <c r="E67" i="16"/>
  <c r="F67" i="16"/>
  <c r="G67" i="16" s="1"/>
  <c r="H67" i="16" s="1"/>
  <c r="I67" i="16" s="1"/>
  <c r="J67" i="16" s="1"/>
  <c r="K67" i="16" s="1"/>
  <c r="L67" i="16" s="1"/>
  <c r="M67" i="16" s="1"/>
  <c r="B67" i="16"/>
  <c r="D66" i="16"/>
  <c r="E66" i="16" s="1"/>
  <c r="F66" i="16" s="1"/>
  <c r="G66" i="16" s="1"/>
  <c r="H66" i="16" s="1"/>
  <c r="I66" i="16" s="1"/>
  <c r="J66" i="16" s="1"/>
  <c r="K66" i="16" s="1"/>
  <c r="L66" i="16" s="1"/>
  <c r="M66" i="16" s="1"/>
  <c r="C66" i="16"/>
  <c r="B66" i="16"/>
  <c r="D65" i="16"/>
  <c r="E65" i="16" s="1"/>
  <c r="F65" i="16" s="1"/>
  <c r="G65" i="16" s="1"/>
  <c r="H65" i="16" s="1"/>
  <c r="I65" i="16" s="1"/>
  <c r="J65" i="16" s="1"/>
  <c r="K65" i="16" s="1"/>
  <c r="L65" i="16" s="1"/>
  <c r="M65" i="16" s="1"/>
  <c r="C65" i="16"/>
  <c r="B65" i="16"/>
  <c r="D64" i="16"/>
  <c r="E64" i="16" s="1"/>
  <c r="F64" i="16" s="1"/>
  <c r="G64" i="16" s="1"/>
  <c r="H64" i="16" s="1"/>
  <c r="I64" i="16" s="1"/>
  <c r="J64" i="16" s="1"/>
  <c r="K64" i="16" s="1"/>
  <c r="L64" i="16" s="1"/>
  <c r="M64" i="16" s="1"/>
  <c r="C64" i="16"/>
  <c r="B64" i="16"/>
  <c r="D63" i="16"/>
  <c r="E63" i="16" s="1"/>
  <c r="F63" i="16" s="1"/>
  <c r="G63" i="16" s="1"/>
  <c r="H63" i="16" s="1"/>
  <c r="I63" i="16" s="1"/>
  <c r="J63" i="16" s="1"/>
  <c r="K63" i="16" s="1"/>
  <c r="L63" i="16" s="1"/>
  <c r="M63" i="16" s="1"/>
  <c r="C63" i="16"/>
  <c r="B63" i="16"/>
  <c r="B87" i="5"/>
  <c r="C87" i="5" s="1"/>
  <c r="D87" i="5" s="1"/>
  <c r="E87" i="5" s="1"/>
  <c r="F87" i="5" s="1"/>
  <c r="G87" i="5" s="1"/>
  <c r="H87" i="5" s="1"/>
  <c r="I87" i="5" s="1"/>
  <c r="J87" i="5" s="1"/>
  <c r="K87" i="5" s="1"/>
  <c r="L87" i="5" s="1"/>
  <c r="M87" i="5" s="1"/>
  <c r="B82" i="5"/>
  <c r="C82" i="5" s="1"/>
  <c r="D82" i="5" s="1"/>
  <c r="E82" i="5" s="1"/>
  <c r="F82" i="5" s="1"/>
  <c r="G82" i="5" s="1"/>
  <c r="H82" i="5" s="1"/>
  <c r="I82" i="5" s="1"/>
  <c r="J82" i="5" s="1"/>
  <c r="K82" i="5" s="1"/>
  <c r="L82" i="5" s="1"/>
  <c r="M82" i="5" s="1"/>
  <c r="B80" i="5"/>
  <c r="C80" i="5" s="1"/>
  <c r="D80" i="5" s="1"/>
  <c r="E80" i="5" s="1"/>
  <c r="F80" i="5" s="1"/>
  <c r="G80" i="5" s="1"/>
  <c r="H80" i="5" s="1"/>
  <c r="I80" i="5" s="1"/>
  <c r="J80" i="5" s="1"/>
  <c r="K80" i="5" s="1"/>
  <c r="L80" i="5" s="1"/>
  <c r="M80" i="5" s="1"/>
  <c r="B79" i="5"/>
  <c r="C79" i="5" s="1"/>
  <c r="D79" i="5" s="1"/>
  <c r="E79" i="5" s="1"/>
  <c r="F79" i="5" s="1"/>
  <c r="G79" i="5" s="1"/>
  <c r="H79" i="5" s="1"/>
  <c r="I79" i="5" s="1"/>
  <c r="J79" i="5" s="1"/>
  <c r="K79" i="5" s="1"/>
  <c r="L79" i="5" s="1"/>
  <c r="M79" i="5" s="1"/>
  <c r="B78" i="5"/>
  <c r="C78" i="5" s="1"/>
  <c r="D78" i="5" s="1"/>
  <c r="E78" i="5" s="1"/>
  <c r="F78" i="5" s="1"/>
  <c r="G78" i="5" s="1"/>
  <c r="H78" i="5" s="1"/>
  <c r="I78" i="5" s="1"/>
  <c r="J78" i="5" s="1"/>
  <c r="K78" i="5" s="1"/>
  <c r="L78" i="5" s="1"/>
  <c r="M78" i="5" s="1"/>
  <c r="B75" i="5"/>
  <c r="C75" i="5" s="1"/>
  <c r="D75" i="5" s="1"/>
  <c r="E75" i="5" s="1"/>
  <c r="F75" i="5" s="1"/>
  <c r="G75" i="5" s="1"/>
  <c r="H75" i="5" s="1"/>
  <c r="I75" i="5" s="1"/>
  <c r="J75" i="5" s="1"/>
  <c r="K75" i="5" s="1"/>
  <c r="L75" i="5" s="1"/>
  <c r="M75" i="5" s="1"/>
  <c r="B74" i="5"/>
  <c r="C74" i="5" s="1"/>
  <c r="D74" i="5" s="1"/>
  <c r="E74" i="5" s="1"/>
  <c r="F74" i="5" s="1"/>
  <c r="G74" i="5" s="1"/>
  <c r="H74" i="5" s="1"/>
  <c r="I74" i="5" s="1"/>
  <c r="J74" i="5" s="1"/>
  <c r="K74" i="5" s="1"/>
  <c r="L74" i="5" s="1"/>
  <c r="M74" i="5" s="1"/>
  <c r="C68" i="5"/>
  <c r="D68" i="5" s="1"/>
  <c r="E68" i="5" s="1"/>
  <c r="F68" i="5" s="1"/>
  <c r="G68" i="5" s="1"/>
  <c r="H68" i="5" s="1"/>
  <c r="I68" i="5" s="1"/>
  <c r="J68" i="5" s="1"/>
  <c r="K68" i="5" s="1"/>
  <c r="L68" i="5" s="1"/>
  <c r="M68" i="5" s="1"/>
  <c r="B67" i="5"/>
  <c r="C67" i="5" s="1"/>
  <c r="D67" i="5" s="1"/>
  <c r="E67" i="5" s="1"/>
  <c r="F67" i="5" s="1"/>
  <c r="G67" i="5" s="1"/>
  <c r="H67" i="5" s="1"/>
  <c r="I67" i="5" s="1"/>
  <c r="J67" i="5" s="1"/>
  <c r="K67" i="5" s="1"/>
  <c r="L67" i="5" s="1"/>
  <c r="M67" i="5" s="1"/>
  <c r="B66" i="5"/>
  <c r="C66" i="5" s="1"/>
  <c r="D66" i="5" s="1"/>
  <c r="E66" i="5" s="1"/>
  <c r="F66" i="5" s="1"/>
  <c r="G66" i="5" s="1"/>
  <c r="H66" i="5" s="1"/>
  <c r="I66" i="5" s="1"/>
  <c r="J66" i="5" s="1"/>
  <c r="K66" i="5" s="1"/>
  <c r="L66" i="5" s="1"/>
  <c r="M66" i="5" s="1"/>
  <c r="C65" i="5"/>
  <c r="D65" i="5" s="1"/>
  <c r="E65" i="5" s="1"/>
  <c r="F65" i="5" s="1"/>
  <c r="G65" i="5" s="1"/>
  <c r="H65" i="5" s="1"/>
  <c r="I65" i="5" s="1"/>
  <c r="J65" i="5" s="1"/>
  <c r="K65" i="5" s="1"/>
  <c r="L65" i="5" s="1"/>
  <c r="M65" i="5" s="1"/>
  <c r="B65" i="5"/>
  <c r="B64" i="5"/>
  <c r="C63" i="5"/>
  <c r="D63" i="5" s="1"/>
  <c r="E63" i="5" s="1"/>
  <c r="F63" i="5" s="1"/>
  <c r="G63" i="5" s="1"/>
  <c r="H63" i="5" s="1"/>
  <c r="I63" i="5" s="1"/>
  <c r="J63" i="5" s="1"/>
  <c r="K63" i="5" s="1"/>
  <c r="L63" i="5" s="1"/>
  <c r="M63" i="5" s="1"/>
  <c r="B63" i="5"/>
  <c r="C119" i="1"/>
  <c r="G112" i="1"/>
  <c r="F112" i="1"/>
  <c r="E112" i="1"/>
  <c r="D112" i="1"/>
  <c r="C112" i="1"/>
  <c r="C107" i="1"/>
  <c r="G107" i="1"/>
  <c r="F107" i="1"/>
  <c r="E107" i="1"/>
  <c r="D107" i="1"/>
  <c r="E58" i="1"/>
  <c r="E64" i="1"/>
  <c r="D64" i="1"/>
  <c r="B26" i="16" s="1"/>
  <c r="C26" i="16" s="1"/>
  <c r="D26" i="16" s="1"/>
  <c r="E26" i="16" s="1"/>
  <c r="F26" i="16" s="1"/>
  <c r="G26" i="16" s="1"/>
  <c r="H26" i="16" s="1"/>
  <c r="I26" i="16" s="1"/>
  <c r="J26" i="16" s="1"/>
  <c r="K26" i="16" s="1"/>
  <c r="L26" i="16" s="1"/>
  <c r="M26" i="16" s="1"/>
  <c r="G108" i="1"/>
  <c r="F108" i="1"/>
  <c r="E108" i="1"/>
  <c r="D108" i="1"/>
  <c r="C108" i="1"/>
  <c r="G73" i="1"/>
  <c r="F73" i="1"/>
  <c r="E73" i="1"/>
  <c r="C71" i="1"/>
  <c r="B33" i="5" s="1"/>
  <c r="C33" i="5" s="1"/>
  <c r="D33" i="5" s="1"/>
  <c r="E33" i="5" s="1"/>
  <c r="F33" i="5" s="1"/>
  <c r="G33" i="5" s="1"/>
  <c r="H33" i="5" s="1"/>
  <c r="I33" i="5" s="1"/>
  <c r="J33" i="5" s="1"/>
  <c r="K33" i="5" s="1"/>
  <c r="L33" i="5" s="1"/>
  <c r="M33" i="5" s="1"/>
  <c r="G63" i="1"/>
  <c r="F63" i="1"/>
  <c r="E63" i="1"/>
  <c r="D60" i="1"/>
  <c r="B22" i="16" s="1"/>
  <c r="C22" i="16" s="1"/>
  <c r="D22" i="16" s="1"/>
  <c r="E22" i="16" s="1"/>
  <c r="F22" i="16" s="1"/>
  <c r="G22" i="16" s="1"/>
  <c r="H22" i="16" s="1"/>
  <c r="I22" i="16" s="1"/>
  <c r="J22" i="16" s="1"/>
  <c r="K22" i="16" s="1"/>
  <c r="L22" i="16" s="1"/>
  <c r="M22" i="16" s="1"/>
  <c r="E60" i="1"/>
  <c r="C35" i="16"/>
  <c r="D35" i="16" s="1"/>
  <c r="E35" i="16" s="1"/>
  <c r="F35" i="16" s="1"/>
  <c r="G35" i="16" s="1"/>
  <c r="H35" i="16" s="1"/>
  <c r="I35" i="16" s="1"/>
  <c r="J35" i="16" s="1"/>
  <c r="K35" i="16" s="1"/>
  <c r="L35" i="16" s="1"/>
  <c r="M35" i="16" s="1"/>
  <c r="B35" i="16"/>
  <c r="C34" i="16"/>
  <c r="D34" i="16" s="1"/>
  <c r="E34" i="16" s="1"/>
  <c r="F34" i="16" s="1"/>
  <c r="G34" i="16" s="1"/>
  <c r="H34" i="16" s="1"/>
  <c r="I34" i="16" s="1"/>
  <c r="J34" i="16" s="1"/>
  <c r="K34" i="16" s="1"/>
  <c r="L34" i="16" s="1"/>
  <c r="M34" i="16" s="1"/>
  <c r="B34" i="16"/>
  <c r="D30" i="16"/>
  <c r="E30" i="16" s="1"/>
  <c r="F30" i="16" s="1"/>
  <c r="G30" i="16" s="1"/>
  <c r="H30" i="16" s="1"/>
  <c r="I30" i="16" s="1"/>
  <c r="J30" i="16" s="1"/>
  <c r="K30" i="16" s="1"/>
  <c r="L30" i="16" s="1"/>
  <c r="M30" i="16" s="1"/>
  <c r="C29" i="16"/>
  <c r="D29" i="16"/>
  <c r="E29" i="16"/>
  <c r="F29" i="16"/>
  <c r="G29" i="16" s="1"/>
  <c r="H29" i="16" s="1"/>
  <c r="I29" i="16" s="1"/>
  <c r="J29" i="16" s="1"/>
  <c r="K29" i="16" s="1"/>
  <c r="L29" i="16" s="1"/>
  <c r="M29" i="16" s="1"/>
  <c r="B29" i="16"/>
  <c r="D28" i="16"/>
  <c r="E28" i="16" s="1"/>
  <c r="F28" i="16" s="1"/>
  <c r="G28" i="16" s="1"/>
  <c r="H28" i="16" s="1"/>
  <c r="I28" i="16" s="1"/>
  <c r="J28" i="16" s="1"/>
  <c r="K28" i="16" s="1"/>
  <c r="L28" i="16" s="1"/>
  <c r="M28" i="16" s="1"/>
  <c r="C25" i="16"/>
  <c r="D25" i="16" s="1"/>
  <c r="E25" i="16" s="1"/>
  <c r="F25" i="16" s="1"/>
  <c r="G25" i="16" s="1"/>
  <c r="H25" i="16" s="1"/>
  <c r="I25" i="16" s="1"/>
  <c r="J25" i="16" s="1"/>
  <c r="K25" i="16" s="1"/>
  <c r="L25" i="16" s="1"/>
  <c r="M25" i="16" s="1"/>
  <c r="B25" i="16"/>
  <c r="C24" i="16"/>
  <c r="D24" i="16"/>
  <c r="E24" i="16" s="1"/>
  <c r="F24" i="16" s="1"/>
  <c r="G24" i="16" s="1"/>
  <c r="H24" i="16" s="1"/>
  <c r="I24" i="16" s="1"/>
  <c r="J24" i="16" s="1"/>
  <c r="K24" i="16" s="1"/>
  <c r="L24" i="16" s="1"/>
  <c r="M24" i="16" s="1"/>
  <c r="B24" i="16"/>
  <c r="E23" i="16"/>
  <c r="F23" i="16" s="1"/>
  <c r="G23" i="16" s="1"/>
  <c r="H23" i="16" s="1"/>
  <c r="I23" i="16" s="1"/>
  <c r="J23" i="16" s="1"/>
  <c r="K23" i="16" s="1"/>
  <c r="L23" i="16" s="1"/>
  <c r="M23" i="16" s="1"/>
  <c r="D23" i="16"/>
  <c r="C23" i="16"/>
  <c r="B23" i="16"/>
  <c r="D21" i="16"/>
  <c r="E21" i="16" s="1"/>
  <c r="F21" i="16" s="1"/>
  <c r="G21" i="16" s="1"/>
  <c r="H21" i="16" s="1"/>
  <c r="I21" i="16" s="1"/>
  <c r="J21" i="16" s="1"/>
  <c r="K21" i="16" s="1"/>
  <c r="L21" i="16" s="1"/>
  <c r="M21" i="16" s="1"/>
  <c r="C21" i="16"/>
  <c r="B21" i="16"/>
  <c r="D20" i="16"/>
  <c r="E20" i="16" s="1"/>
  <c r="F20" i="16" s="1"/>
  <c r="G20" i="16" s="1"/>
  <c r="H20" i="16" s="1"/>
  <c r="I20" i="16" s="1"/>
  <c r="J20" i="16" s="1"/>
  <c r="K20" i="16" s="1"/>
  <c r="L20" i="16" s="1"/>
  <c r="M20" i="16" s="1"/>
  <c r="C20" i="16"/>
  <c r="B20" i="16"/>
  <c r="D19" i="16"/>
  <c r="E19" i="16" s="1"/>
  <c r="F19" i="16" s="1"/>
  <c r="G19" i="16" s="1"/>
  <c r="H19" i="16" s="1"/>
  <c r="I19" i="16" s="1"/>
  <c r="J19" i="16" s="1"/>
  <c r="K19" i="16" s="1"/>
  <c r="L19" i="16" s="1"/>
  <c r="M19" i="16" s="1"/>
  <c r="C19" i="16"/>
  <c r="B19" i="16"/>
  <c r="B35" i="5"/>
  <c r="C35" i="5" s="1"/>
  <c r="D35" i="5" s="1"/>
  <c r="E35" i="5" s="1"/>
  <c r="F35" i="5" s="1"/>
  <c r="G35" i="5" s="1"/>
  <c r="H35" i="5" s="1"/>
  <c r="I35" i="5" s="1"/>
  <c r="J35" i="5" s="1"/>
  <c r="K35" i="5" s="1"/>
  <c r="L35" i="5" s="1"/>
  <c r="M35" i="5" s="1"/>
  <c r="B34" i="5"/>
  <c r="C34" i="5" s="1"/>
  <c r="D34" i="5" s="1"/>
  <c r="E34" i="5" s="1"/>
  <c r="F34" i="5" s="1"/>
  <c r="G34" i="5" s="1"/>
  <c r="H34" i="5" s="1"/>
  <c r="I34" i="5" s="1"/>
  <c r="J34" i="5" s="1"/>
  <c r="K34" i="5" s="1"/>
  <c r="L34" i="5" s="1"/>
  <c r="M34" i="5" s="1"/>
  <c r="B31" i="5"/>
  <c r="C31" i="5" s="1"/>
  <c r="D31" i="5" s="1"/>
  <c r="E31" i="5" s="1"/>
  <c r="F31" i="5" s="1"/>
  <c r="G31" i="5" s="1"/>
  <c r="H31" i="5" s="1"/>
  <c r="I31" i="5" s="1"/>
  <c r="J31" i="5" s="1"/>
  <c r="K31" i="5" s="1"/>
  <c r="L31" i="5" s="1"/>
  <c r="M31" i="5" s="1"/>
  <c r="D30" i="5"/>
  <c r="E30" i="5" s="1"/>
  <c r="F30" i="5" s="1"/>
  <c r="G30" i="5" s="1"/>
  <c r="H30" i="5" s="1"/>
  <c r="I30" i="5" s="1"/>
  <c r="J30" i="5" s="1"/>
  <c r="K30" i="5" s="1"/>
  <c r="L30" i="5" s="1"/>
  <c r="M30" i="5" s="1"/>
  <c r="B29" i="5"/>
  <c r="C29" i="5" s="1"/>
  <c r="D29" i="5" s="1"/>
  <c r="E29" i="5" s="1"/>
  <c r="F29" i="5" s="1"/>
  <c r="G29" i="5" s="1"/>
  <c r="H29" i="5" s="1"/>
  <c r="I29" i="5" s="1"/>
  <c r="J29" i="5" s="1"/>
  <c r="K29" i="5" s="1"/>
  <c r="L29" i="5" s="1"/>
  <c r="M29" i="5" s="1"/>
  <c r="D28" i="5"/>
  <c r="E28" i="5" s="1"/>
  <c r="F28" i="5" s="1"/>
  <c r="G28" i="5" s="1"/>
  <c r="H28" i="5" s="1"/>
  <c r="I28" i="5" s="1"/>
  <c r="J28" i="5" s="1"/>
  <c r="K28" i="5" s="1"/>
  <c r="L28" i="5" s="1"/>
  <c r="M28" i="5" s="1"/>
  <c r="B26" i="5"/>
  <c r="C26" i="5" s="1"/>
  <c r="D26" i="5" s="1"/>
  <c r="E26" i="5" s="1"/>
  <c r="F26" i="5" s="1"/>
  <c r="G26" i="5" s="1"/>
  <c r="H26" i="5" s="1"/>
  <c r="I26" i="5" s="1"/>
  <c r="J26" i="5" s="1"/>
  <c r="K26" i="5" s="1"/>
  <c r="L26" i="5" s="1"/>
  <c r="M26" i="5" s="1"/>
  <c r="B25" i="5"/>
  <c r="C25" i="5" s="1"/>
  <c r="D25" i="5" s="1"/>
  <c r="E25" i="5" s="1"/>
  <c r="F25" i="5" s="1"/>
  <c r="G25" i="5" s="1"/>
  <c r="H25" i="5" s="1"/>
  <c r="I25" i="5" s="1"/>
  <c r="J25" i="5" s="1"/>
  <c r="K25" i="5" s="1"/>
  <c r="L25" i="5" s="1"/>
  <c r="M25" i="5" s="1"/>
  <c r="B24" i="5"/>
  <c r="C24" i="5" s="1"/>
  <c r="B23" i="5"/>
  <c r="C23" i="5" s="1"/>
  <c r="D23" i="5" s="1"/>
  <c r="E23" i="5" s="1"/>
  <c r="F23" i="5" s="1"/>
  <c r="G23" i="5" s="1"/>
  <c r="H23" i="5" s="1"/>
  <c r="I23" i="5" s="1"/>
  <c r="J23" i="5" s="1"/>
  <c r="K23" i="5" s="1"/>
  <c r="L23" i="5" s="1"/>
  <c r="M23" i="5" s="1"/>
  <c r="C22" i="5"/>
  <c r="D22" i="5" s="1"/>
  <c r="E22" i="5" s="1"/>
  <c r="F22" i="5" s="1"/>
  <c r="G22" i="5" s="1"/>
  <c r="H22" i="5" s="1"/>
  <c r="I22" i="5" s="1"/>
  <c r="J22" i="5" s="1"/>
  <c r="K22" i="5" s="1"/>
  <c r="L22" i="5" s="1"/>
  <c r="M22" i="5" s="1"/>
  <c r="B22" i="5"/>
  <c r="B21" i="5"/>
  <c r="C21" i="5" s="1"/>
  <c r="D21" i="5" s="1"/>
  <c r="E21" i="5" s="1"/>
  <c r="F21" i="5" s="1"/>
  <c r="G21" i="5" s="1"/>
  <c r="H21" i="5" s="1"/>
  <c r="I21" i="5" s="1"/>
  <c r="J21" i="5" s="1"/>
  <c r="K21" i="5" s="1"/>
  <c r="L21" i="5" s="1"/>
  <c r="M21" i="5" s="1"/>
  <c r="B20" i="5"/>
  <c r="C20" i="5" s="1"/>
  <c r="D20" i="5" s="1"/>
  <c r="E20" i="5" s="1"/>
  <c r="F20" i="5" s="1"/>
  <c r="G20" i="5" s="1"/>
  <c r="H20" i="5" s="1"/>
  <c r="I20" i="5" s="1"/>
  <c r="J20" i="5" s="1"/>
  <c r="K20" i="5" s="1"/>
  <c r="L20" i="5" s="1"/>
  <c r="M20" i="5" s="1"/>
  <c r="B19" i="5"/>
  <c r="C19" i="5" s="1"/>
  <c r="D19" i="5" s="1"/>
  <c r="E19" i="5" s="1"/>
  <c r="F19" i="5" s="1"/>
  <c r="G19" i="5" s="1"/>
  <c r="H19" i="5" s="1"/>
  <c r="I19" i="5" s="1"/>
  <c r="J19" i="5" s="1"/>
  <c r="K19" i="5" s="1"/>
  <c r="L19" i="5" s="1"/>
  <c r="M19" i="5" s="1"/>
  <c r="G84" i="1"/>
  <c r="F84" i="1"/>
  <c r="E84" i="1"/>
  <c r="D84" i="1"/>
  <c r="C84" i="1"/>
  <c r="G57" i="1"/>
  <c r="F57" i="1"/>
  <c r="E57" i="1"/>
  <c r="D57" i="1"/>
  <c r="G114" i="1"/>
  <c r="F114" i="1"/>
  <c r="E114" i="1"/>
  <c r="D114" i="1"/>
  <c r="C114" i="1"/>
  <c r="G6" i="1"/>
  <c r="F6" i="1"/>
  <c r="E6" i="1"/>
  <c r="D6" i="1"/>
  <c r="B128" i="1"/>
  <c r="G59" i="1"/>
  <c r="F59" i="1"/>
  <c r="E59" i="1"/>
  <c r="D59" i="1"/>
  <c r="C59" i="1"/>
  <c r="G82" i="1"/>
  <c r="F82" i="1"/>
  <c r="E82" i="1"/>
  <c r="D82" i="1"/>
  <c r="C82" i="1"/>
  <c r="D69" i="1"/>
  <c r="B31" i="16" s="1"/>
  <c r="C31" i="16" s="1"/>
  <c r="D31" i="16" s="1"/>
  <c r="E31" i="16" s="1"/>
  <c r="F31" i="16" s="1"/>
  <c r="G31" i="16" s="1"/>
  <c r="H31" i="16" s="1"/>
  <c r="I31" i="16" s="1"/>
  <c r="J31" i="16" s="1"/>
  <c r="K31" i="16" s="1"/>
  <c r="L31" i="16" s="1"/>
  <c r="M31" i="16" s="1"/>
  <c r="C69" i="1"/>
  <c r="C64" i="5" l="1"/>
  <c r="D24" i="5"/>
  <c r="D64" i="5"/>
  <c r="D67" i="1"/>
  <c r="D65" i="1"/>
  <c r="D27" i="16" s="1"/>
  <c r="E27" i="16" s="1"/>
  <c r="F27" i="16" s="1"/>
  <c r="G27" i="16" s="1"/>
  <c r="H27" i="16" s="1"/>
  <c r="I27" i="16" s="1"/>
  <c r="J27" i="16" s="1"/>
  <c r="K27" i="16" s="1"/>
  <c r="L27" i="16" s="1"/>
  <c r="M27" i="16" s="1"/>
  <c r="E81" i="1"/>
  <c r="D81" i="1"/>
  <c r="D63" i="1"/>
  <c r="F64" i="1"/>
  <c r="G64" i="1" s="1"/>
  <c r="E69" i="1"/>
  <c r="D66" i="1"/>
  <c r="E66" i="1" s="1"/>
  <c r="F66" i="1" s="1"/>
  <c r="G66" i="1" s="1"/>
  <c r="D58" i="1"/>
  <c r="F58" i="1" s="1"/>
  <c r="G58" i="1" s="1"/>
  <c r="G70" i="1"/>
  <c r="F70" i="1"/>
  <c r="E70" i="1"/>
  <c r="D70" i="1"/>
  <c r="B32" i="16" s="1"/>
  <c r="C32" i="16" s="1"/>
  <c r="D32" i="16" s="1"/>
  <c r="E32" i="16" s="1"/>
  <c r="F32" i="16" s="1"/>
  <c r="G32" i="16" s="1"/>
  <c r="H32" i="16" s="1"/>
  <c r="I32" i="16" s="1"/>
  <c r="J32" i="16" s="1"/>
  <c r="K32" i="16" s="1"/>
  <c r="L32" i="16" s="1"/>
  <c r="M32" i="16" s="1"/>
  <c r="C70" i="1"/>
  <c r="B32" i="5" s="1"/>
  <c r="C32" i="5" s="1"/>
  <c r="D32" i="5" s="1"/>
  <c r="E32" i="5" s="1"/>
  <c r="F32" i="5" s="1"/>
  <c r="G32" i="5" s="1"/>
  <c r="H32" i="5" s="1"/>
  <c r="I32" i="5" s="1"/>
  <c r="J32" i="5" s="1"/>
  <c r="K32" i="5" s="1"/>
  <c r="L32" i="5" s="1"/>
  <c r="M32" i="5" s="1"/>
  <c r="G87" i="1"/>
  <c r="F87" i="1"/>
  <c r="E87" i="1"/>
  <c r="D87" i="1"/>
  <c r="C87" i="1"/>
  <c r="G80" i="1"/>
  <c r="F80" i="1"/>
  <c r="E80" i="1"/>
  <c r="D80" i="1"/>
  <c r="G79" i="1"/>
  <c r="F79" i="1"/>
  <c r="E79" i="1"/>
  <c r="D79" i="1"/>
  <c r="G78" i="1"/>
  <c r="F78" i="1"/>
  <c r="E78" i="1"/>
  <c r="D78" i="1"/>
  <c r="G77" i="1"/>
  <c r="F77" i="1"/>
  <c r="E77" i="1"/>
  <c r="D77" i="1"/>
  <c r="C80" i="1"/>
  <c r="E65" i="1" l="1"/>
  <c r="F65" i="1" s="1"/>
  <c r="G65" i="1" s="1"/>
  <c r="E24" i="5"/>
  <c r="E64" i="5"/>
  <c r="D71" i="1"/>
  <c r="B33" i="16" s="1"/>
  <c r="C33" i="16" s="1"/>
  <c r="D33" i="16" s="1"/>
  <c r="E33" i="16" s="1"/>
  <c r="F33" i="16" s="1"/>
  <c r="G33" i="16" s="1"/>
  <c r="H33" i="16" s="1"/>
  <c r="I33" i="16" s="1"/>
  <c r="J33" i="16" s="1"/>
  <c r="K33" i="16" s="1"/>
  <c r="L33" i="16" s="1"/>
  <c r="M33" i="16" s="1"/>
  <c r="F60" i="1"/>
  <c r="C79" i="1"/>
  <c r="C78" i="1"/>
  <c r="C77" i="1"/>
  <c r="G4" i="1"/>
  <c r="F4" i="1"/>
  <c r="E4" i="1"/>
  <c r="D4" i="1"/>
  <c r="C4" i="1"/>
  <c r="N97" i="5"/>
  <c r="F24" i="5" l="1"/>
  <c r="F64" i="5"/>
  <c r="G60" i="1"/>
  <c r="G69" i="1" s="1"/>
  <c r="F69" i="1"/>
  <c r="E71" i="1"/>
  <c r="O97" i="5"/>
  <c r="N97" i="16"/>
  <c r="O97" i="16" s="1"/>
  <c r="D9" i="1"/>
  <c r="C9" i="1"/>
  <c r="G24" i="5" l="1"/>
  <c r="G64" i="5"/>
  <c r="G71" i="1"/>
  <c r="F71" i="1"/>
  <c r="A86" i="16"/>
  <c r="H24" i="5" l="1"/>
  <c r="H64" i="5"/>
  <c r="D37" i="1"/>
  <c r="C37" i="1"/>
  <c r="C38" i="1"/>
  <c r="I24" i="5" l="1"/>
  <c r="I64" i="5"/>
  <c r="A1" i="16"/>
  <c r="A1" i="5"/>
  <c r="A1" i="15"/>
  <c r="A2" i="3"/>
  <c r="J24" i="5" l="1"/>
  <c r="J64" i="5"/>
  <c r="N98" i="16"/>
  <c r="O98" i="16" s="1"/>
  <c r="N98" i="5"/>
  <c r="G12" i="3"/>
  <c r="F12" i="3"/>
  <c r="E12" i="3"/>
  <c r="D12" i="3"/>
  <c r="C12" i="3"/>
  <c r="B12" i="3"/>
  <c r="K24" i="5" l="1"/>
  <c r="K64" i="5"/>
  <c r="O98" i="5"/>
  <c r="N53" i="16"/>
  <c r="O53" i="16" s="1"/>
  <c r="N52" i="16"/>
  <c r="O52" i="16" s="1"/>
  <c r="N51" i="16"/>
  <c r="O51" i="16" s="1"/>
  <c r="N49" i="16"/>
  <c r="O49" i="16" s="1"/>
  <c r="N48" i="16"/>
  <c r="O48" i="16" s="1"/>
  <c r="N47" i="16"/>
  <c r="O47" i="16" s="1"/>
  <c r="N45" i="16"/>
  <c r="O45" i="16" s="1"/>
  <c r="N44" i="16"/>
  <c r="O44" i="16" s="1"/>
  <c r="N43" i="16"/>
  <c r="O43" i="16" s="1"/>
  <c r="N42" i="16"/>
  <c r="O42" i="16" s="1"/>
  <c r="M54" i="16"/>
  <c r="J54" i="16"/>
  <c r="E54" i="16"/>
  <c r="N40" i="16"/>
  <c r="O40" i="16" s="1"/>
  <c r="I54" i="16"/>
  <c r="F54" i="16"/>
  <c r="M94" i="16"/>
  <c r="L94" i="16"/>
  <c r="J94" i="16"/>
  <c r="E94" i="16"/>
  <c r="D94" i="16"/>
  <c r="K94" i="16"/>
  <c r="I94" i="16"/>
  <c r="G94" i="16"/>
  <c r="F94" i="16"/>
  <c r="C94" i="16"/>
  <c r="N84" i="16"/>
  <c r="O84" i="16" s="1"/>
  <c r="N81" i="16"/>
  <c r="O81" i="16" s="1"/>
  <c r="N79" i="16"/>
  <c r="O79" i="16" s="1"/>
  <c r="N76" i="16"/>
  <c r="O76" i="16" s="1"/>
  <c r="N74" i="16"/>
  <c r="O74" i="16" s="1"/>
  <c r="N73" i="16"/>
  <c r="O73" i="16" s="1"/>
  <c r="N72" i="16"/>
  <c r="O72" i="16" s="1"/>
  <c r="N70" i="16"/>
  <c r="O70" i="16" s="1"/>
  <c r="N69" i="16"/>
  <c r="O69" i="16" s="1"/>
  <c r="N63" i="16"/>
  <c r="O63" i="16" s="1"/>
  <c r="N57" i="16"/>
  <c r="O57" i="16" s="1"/>
  <c r="N56" i="16"/>
  <c r="O56" i="16" s="1"/>
  <c r="N30" i="16"/>
  <c r="O30" i="16" s="1"/>
  <c r="N29" i="16"/>
  <c r="O29" i="16" s="1"/>
  <c r="N28" i="16"/>
  <c r="O28" i="16" s="1"/>
  <c r="N26" i="16"/>
  <c r="O26" i="16" s="1"/>
  <c r="N23" i="16"/>
  <c r="O23" i="16" s="1"/>
  <c r="J37" i="16"/>
  <c r="G37" i="16"/>
  <c r="N82" i="15"/>
  <c r="O82" i="15" s="1"/>
  <c r="M6" i="15"/>
  <c r="L6" i="15"/>
  <c r="K6" i="15"/>
  <c r="J6" i="15"/>
  <c r="I6" i="15"/>
  <c r="H6" i="15"/>
  <c r="G6" i="15"/>
  <c r="F6" i="15"/>
  <c r="E6" i="15"/>
  <c r="D6" i="15"/>
  <c r="C6" i="15"/>
  <c r="B6" i="15"/>
  <c r="B4" i="15"/>
  <c r="A94" i="16"/>
  <c r="A93" i="16"/>
  <c r="A92" i="16"/>
  <c r="A91" i="16"/>
  <c r="H94" i="16"/>
  <c r="A90" i="16"/>
  <c r="A89" i="16"/>
  <c r="A88" i="16"/>
  <c r="A87" i="16"/>
  <c r="A85" i="16"/>
  <c r="A84" i="16"/>
  <c r="N83" i="16"/>
  <c r="O83" i="16" s="1"/>
  <c r="A83" i="16"/>
  <c r="N82" i="16"/>
  <c r="O82" i="16" s="1"/>
  <c r="A82" i="16"/>
  <c r="A81" i="16"/>
  <c r="A80" i="16"/>
  <c r="A79" i="16"/>
  <c r="A78" i="16"/>
  <c r="N77" i="16"/>
  <c r="O77" i="16" s="1"/>
  <c r="A77" i="16"/>
  <c r="A76" i="16"/>
  <c r="A75" i="16"/>
  <c r="A74" i="16"/>
  <c r="A73" i="16"/>
  <c r="A72" i="16"/>
  <c r="N71" i="16"/>
  <c r="O71" i="16" s="1"/>
  <c r="A71" i="16"/>
  <c r="A70" i="16"/>
  <c r="A69" i="16"/>
  <c r="A68" i="16"/>
  <c r="A67" i="16"/>
  <c r="A66" i="16"/>
  <c r="D85" i="16"/>
  <c r="A65" i="16"/>
  <c r="A64" i="16"/>
  <c r="A63" i="16"/>
  <c r="A62" i="16"/>
  <c r="A61" i="16"/>
  <c r="A60" i="16"/>
  <c r="N59" i="16"/>
  <c r="O59" i="16" s="1"/>
  <c r="A59" i="16"/>
  <c r="A58" i="16"/>
  <c r="A57" i="16"/>
  <c r="A56" i="16"/>
  <c r="A55" i="16"/>
  <c r="G54" i="16"/>
  <c r="A54" i="16"/>
  <c r="A53" i="16"/>
  <c r="A52" i="16"/>
  <c r="A51" i="16"/>
  <c r="A50" i="16"/>
  <c r="A49" i="16"/>
  <c r="A48" i="16"/>
  <c r="A47" i="16"/>
  <c r="A46" i="16"/>
  <c r="A45" i="16"/>
  <c r="A44" i="16"/>
  <c r="A43" i="16"/>
  <c r="A42" i="16"/>
  <c r="H54" i="16"/>
  <c r="C54" i="16"/>
  <c r="A41" i="16"/>
  <c r="A40" i="16"/>
  <c r="A39" i="16"/>
  <c r="A38" i="16"/>
  <c r="A37" i="16"/>
  <c r="A36" i="16"/>
  <c r="A35" i="16"/>
  <c r="A34" i="16"/>
  <c r="A33" i="16"/>
  <c r="A32" i="16"/>
  <c r="A31" i="16"/>
  <c r="A30" i="16"/>
  <c r="A29" i="16"/>
  <c r="A28" i="16"/>
  <c r="A27" i="16"/>
  <c r="A26" i="16"/>
  <c r="A25" i="16"/>
  <c r="A24" i="16"/>
  <c r="A23" i="16"/>
  <c r="A22" i="16"/>
  <c r="A21" i="16"/>
  <c r="A20" i="16"/>
  <c r="A19" i="16"/>
  <c r="A18" i="16"/>
  <c r="N15" i="16"/>
  <c r="O15" i="16" s="1"/>
  <c r="A15" i="16"/>
  <c r="N14" i="16"/>
  <c r="O14" i="16" s="1"/>
  <c r="A14" i="16"/>
  <c r="N13" i="16"/>
  <c r="O13" i="16" s="1"/>
  <c r="A13" i="16"/>
  <c r="N12" i="16"/>
  <c r="O12" i="16" s="1"/>
  <c r="A12" i="16"/>
  <c r="N11" i="16"/>
  <c r="O11" i="16" s="1"/>
  <c r="A11" i="16"/>
  <c r="N10" i="16"/>
  <c r="O10" i="16" s="1"/>
  <c r="A10" i="16"/>
  <c r="N9" i="16"/>
  <c r="O9" i="16" s="1"/>
  <c r="A9" i="16"/>
  <c r="N8" i="16"/>
  <c r="O8" i="16" s="1"/>
  <c r="A8" i="16"/>
  <c r="N7" i="16"/>
  <c r="O7" i="16" s="1"/>
  <c r="A7" i="16"/>
  <c r="A6" i="16"/>
  <c r="A2" i="16"/>
  <c r="A94" i="15"/>
  <c r="N93" i="15"/>
  <c r="O93" i="15" s="1"/>
  <c r="A93" i="15"/>
  <c r="N92" i="15"/>
  <c r="O92" i="15" s="1"/>
  <c r="A92" i="15"/>
  <c r="N91" i="15"/>
  <c r="O91" i="15" s="1"/>
  <c r="A91" i="15"/>
  <c r="M94" i="15"/>
  <c r="L94" i="15"/>
  <c r="K94" i="15"/>
  <c r="J94" i="15"/>
  <c r="I94" i="15"/>
  <c r="H94" i="15"/>
  <c r="G94" i="15"/>
  <c r="F94" i="15"/>
  <c r="E94" i="15"/>
  <c r="D94" i="15"/>
  <c r="C94" i="15"/>
  <c r="A90" i="15"/>
  <c r="N89" i="15"/>
  <c r="O89" i="15" s="1"/>
  <c r="A89" i="15"/>
  <c r="N88" i="15"/>
  <c r="O88" i="15" s="1"/>
  <c r="A88" i="15"/>
  <c r="N87" i="15"/>
  <c r="O87" i="15" s="1"/>
  <c r="A87" i="15"/>
  <c r="A86" i="15"/>
  <c r="A85" i="15"/>
  <c r="N84" i="15"/>
  <c r="O84" i="15" s="1"/>
  <c r="A84" i="15"/>
  <c r="N83" i="15"/>
  <c r="O83" i="15" s="1"/>
  <c r="A83" i="15"/>
  <c r="A82" i="15"/>
  <c r="N81" i="15"/>
  <c r="O81" i="15" s="1"/>
  <c r="A81" i="15"/>
  <c r="A80" i="15"/>
  <c r="N79" i="15"/>
  <c r="O79" i="15" s="1"/>
  <c r="A79" i="15"/>
  <c r="A78" i="15"/>
  <c r="N77" i="15"/>
  <c r="O77" i="15" s="1"/>
  <c r="A77" i="15"/>
  <c r="N76" i="15"/>
  <c r="O76" i="15" s="1"/>
  <c r="A76" i="15"/>
  <c r="A75" i="15"/>
  <c r="N74" i="15"/>
  <c r="O74" i="15" s="1"/>
  <c r="A74" i="15"/>
  <c r="N73" i="15"/>
  <c r="O73" i="15" s="1"/>
  <c r="A73" i="15"/>
  <c r="N72" i="15"/>
  <c r="O72" i="15" s="1"/>
  <c r="A72" i="15"/>
  <c r="N71" i="15"/>
  <c r="O71" i="15" s="1"/>
  <c r="A71" i="15"/>
  <c r="N70" i="15"/>
  <c r="O70" i="15" s="1"/>
  <c r="A70" i="15"/>
  <c r="N69" i="15"/>
  <c r="O69" i="15" s="1"/>
  <c r="A69" i="15"/>
  <c r="A68" i="15"/>
  <c r="A67" i="15"/>
  <c r="A66" i="15"/>
  <c r="D85" i="15"/>
  <c r="A65" i="15"/>
  <c r="A64" i="15"/>
  <c r="N63" i="15"/>
  <c r="O63" i="15" s="1"/>
  <c r="A63" i="15"/>
  <c r="A62" i="15"/>
  <c r="A61" i="15"/>
  <c r="A60" i="15"/>
  <c r="N59" i="15"/>
  <c r="O59" i="15" s="1"/>
  <c r="A59" i="15"/>
  <c r="A58" i="15"/>
  <c r="N57" i="15"/>
  <c r="O57" i="15" s="1"/>
  <c r="A57" i="15"/>
  <c r="N56" i="15"/>
  <c r="O56" i="15" s="1"/>
  <c r="A56" i="15"/>
  <c r="A55" i="15"/>
  <c r="M54" i="15"/>
  <c r="I54" i="15"/>
  <c r="G54" i="15"/>
  <c r="A54" i="15"/>
  <c r="N53" i="15"/>
  <c r="O53" i="15" s="1"/>
  <c r="A53" i="15"/>
  <c r="N52" i="15"/>
  <c r="O52" i="15" s="1"/>
  <c r="A52" i="15"/>
  <c r="N51" i="15"/>
  <c r="O51" i="15" s="1"/>
  <c r="A51" i="15"/>
  <c r="N50" i="15"/>
  <c r="O50" i="15" s="1"/>
  <c r="A50" i="15"/>
  <c r="N49" i="15"/>
  <c r="O49" i="15" s="1"/>
  <c r="A49" i="15"/>
  <c r="N48" i="15"/>
  <c r="O48" i="15" s="1"/>
  <c r="A48" i="15"/>
  <c r="N47" i="15"/>
  <c r="O47" i="15" s="1"/>
  <c r="A47" i="15"/>
  <c r="A46" i="15"/>
  <c r="N45" i="15"/>
  <c r="O45" i="15" s="1"/>
  <c r="A45" i="15"/>
  <c r="N44" i="15"/>
  <c r="O44" i="15" s="1"/>
  <c r="A44" i="15"/>
  <c r="N43" i="15"/>
  <c r="O43" i="15" s="1"/>
  <c r="A43" i="15"/>
  <c r="N42" i="15"/>
  <c r="O42" i="15" s="1"/>
  <c r="A42" i="15"/>
  <c r="J54" i="15"/>
  <c r="H54" i="15"/>
  <c r="E54" i="15"/>
  <c r="D54" i="15"/>
  <c r="C54" i="15"/>
  <c r="A41" i="15"/>
  <c r="N40" i="15"/>
  <c r="O40" i="15" s="1"/>
  <c r="A40" i="15"/>
  <c r="N39" i="15"/>
  <c r="O39" i="15" s="1"/>
  <c r="A39" i="15"/>
  <c r="A38" i="15"/>
  <c r="A37" i="15"/>
  <c r="N36" i="15"/>
  <c r="O36" i="15" s="1"/>
  <c r="A36" i="15"/>
  <c r="N35" i="15"/>
  <c r="O35" i="15" s="1"/>
  <c r="A35" i="15"/>
  <c r="A34" i="15"/>
  <c r="A33" i="15"/>
  <c r="A32" i="15"/>
  <c r="A31" i="15"/>
  <c r="N30" i="15"/>
  <c r="O30" i="15" s="1"/>
  <c r="A30" i="15"/>
  <c r="N29" i="15"/>
  <c r="O29" i="15" s="1"/>
  <c r="A29" i="15"/>
  <c r="N28" i="15"/>
  <c r="O28" i="15" s="1"/>
  <c r="A28" i="15"/>
  <c r="A27" i="15"/>
  <c r="N26" i="15"/>
  <c r="O26" i="15" s="1"/>
  <c r="A26" i="15"/>
  <c r="A25" i="15"/>
  <c r="A24" i="15"/>
  <c r="N23" i="15"/>
  <c r="O23" i="15" s="1"/>
  <c r="A23" i="15"/>
  <c r="A22" i="15"/>
  <c r="A21" i="15"/>
  <c r="A20" i="15"/>
  <c r="L37" i="15"/>
  <c r="J37" i="15"/>
  <c r="D37" i="15"/>
  <c r="C37" i="15"/>
  <c r="A19" i="15"/>
  <c r="A18" i="15"/>
  <c r="N15" i="15"/>
  <c r="O15" i="15" s="1"/>
  <c r="A15" i="15"/>
  <c r="N14" i="15"/>
  <c r="O14" i="15" s="1"/>
  <c r="A14" i="15"/>
  <c r="N13" i="15"/>
  <c r="O13" i="15" s="1"/>
  <c r="A13" i="15"/>
  <c r="N12" i="15"/>
  <c r="O12" i="15" s="1"/>
  <c r="A12" i="15"/>
  <c r="N11" i="15"/>
  <c r="O11" i="15" s="1"/>
  <c r="A11" i="15"/>
  <c r="N10" i="15"/>
  <c r="O10" i="15" s="1"/>
  <c r="A10" i="15"/>
  <c r="N9" i="15"/>
  <c r="O9" i="15" s="1"/>
  <c r="A9" i="15"/>
  <c r="N8" i="15"/>
  <c r="O8" i="15" s="1"/>
  <c r="A8" i="15"/>
  <c r="N7" i="15"/>
  <c r="O7" i="15" s="1"/>
  <c r="A7" i="15"/>
  <c r="A6" i="15"/>
  <c r="A2" i="15"/>
  <c r="A84" i="5"/>
  <c r="A36" i="5"/>
  <c r="A35" i="5"/>
  <c r="A15" i="5"/>
  <c r="A14" i="5"/>
  <c r="A13" i="5"/>
  <c r="A12" i="5"/>
  <c r="A11" i="5"/>
  <c r="A10" i="5"/>
  <c r="A9" i="5"/>
  <c r="A8" i="5"/>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G4" i="3"/>
  <c r="F4" i="3"/>
  <c r="E4" i="3"/>
  <c r="D4" i="3"/>
  <c r="C4" i="3"/>
  <c r="B4" i="3"/>
  <c r="L24" i="5" l="1"/>
  <c r="L64" i="5"/>
  <c r="N88" i="16"/>
  <c r="O88" i="16" s="1"/>
  <c r="N89" i="16"/>
  <c r="O89" i="16" s="1"/>
  <c r="N91" i="16"/>
  <c r="O91" i="16" s="1"/>
  <c r="N92" i="16"/>
  <c r="O92" i="16" s="1"/>
  <c r="N93" i="16"/>
  <c r="O93" i="16" s="1"/>
  <c r="N50" i="16"/>
  <c r="O50" i="16" s="1"/>
  <c r="F37" i="16"/>
  <c r="N35" i="16"/>
  <c r="O35" i="16" s="1"/>
  <c r="N36" i="16"/>
  <c r="O36" i="16" s="1"/>
  <c r="B94" i="16"/>
  <c r="N94" i="16" s="1"/>
  <c r="N87" i="16"/>
  <c r="O87" i="16" s="1"/>
  <c r="N39" i="16"/>
  <c r="O39" i="16" s="1"/>
  <c r="C37" i="16"/>
  <c r="D37" i="16"/>
  <c r="L37" i="16"/>
  <c r="I37" i="16"/>
  <c r="K37" i="15"/>
  <c r="F37" i="15"/>
  <c r="I37" i="15"/>
  <c r="G37" i="15"/>
  <c r="N68" i="16"/>
  <c r="O68" i="16" s="1"/>
  <c r="N65" i="16"/>
  <c r="O65" i="16" s="1"/>
  <c r="N22" i="15"/>
  <c r="O22" i="15" s="1"/>
  <c r="N46" i="15"/>
  <c r="O46" i="15" s="1"/>
  <c r="E37" i="16"/>
  <c r="N62" i="15"/>
  <c r="O62" i="15" s="1"/>
  <c r="N67" i="15"/>
  <c r="O67" i="15" s="1"/>
  <c r="N80" i="16"/>
  <c r="O80" i="16" s="1"/>
  <c r="N78" i="16"/>
  <c r="O78" i="16" s="1"/>
  <c r="N65" i="15"/>
  <c r="O65" i="15" s="1"/>
  <c r="K37" i="16"/>
  <c r="N34" i="16"/>
  <c r="O34" i="16" s="1"/>
  <c r="B85" i="15"/>
  <c r="N32" i="15"/>
  <c r="O32" i="15" s="1"/>
  <c r="G85" i="15"/>
  <c r="N66" i="15"/>
  <c r="O66" i="15" s="1"/>
  <c r="N68" i="15"/>
  <c r="O68" i="15" s="1"/>
  <c r="N20" i="15"/>
  <c r="O20" i="15" s="1"/>
  <c r="N80" i="15"/>
  <c r="O80" i="15" s="1"/>
  <c r="N21" i="16"/>
  <c r="O21" i="16" s="1"/>
  <c r="N31" i="16"/>
  <c r="O31" i="16" s="1"/>
  <c r="L54" i="16"/>
  <c r="N19" i="15"/>
  <c r="O19" i="15" s="1"/>
  <c r="M37" i="15"/>
  <c r="N25" i="15"/>
  <c r="O25" i="15" s="1"/>
  <c r="N25" i="16"/>
  <c r="O25" i="16" s="1"/>
  <c r="N27" i="16"/>
  <c r="O27" i="16" s="1"/>
  <c r="N33" i="16"/>
  <c r="O33" i="16" s="1"/>
  <c r="N31" i="15"/>
  <c r="O31" i="15" s="1"/>
  <c r="N33" i="15"/>
  <c r="O33" i="15" s="1"/>
  <c r="L54" i="15"/>
  <c r="M37" i="16"/>
  <c r="B85" i="16"/>
  <c r="N75" i="16"/>
  <c r="O75" i="16" s="1"/>
  <c r="B54" i="15"/>
  <c r="G85" i="16"/>
  <c r="G95" i="16" s="1"/>
  <c r="N66" i="16"/>
  <c r="O66" i="16" s="1"/>
  <c r="N27" i="15"/>
  <c r="O27" i="15" s="1"/>
  <c r="N46" i="16"/>
  <c r="O46" i="16" s="1"/>
  <c r="E85" i="15"/>
  <c r="N64" i="15"/>
  <c r="O64" i="15" s="1"/>
  <c r="H37" i="16"/>
  <c r="B37" i="15"/>
  <c r="F85" i="15"/>
  <c r="N22" i="16"/>
  <c r="O22" i="16" s="1"/>
  <c r="B54" i="16"/>
  <c r="N62" i="16"/>
  <c r="O62" i="16" s="1"/>
  <c r="N78" i="15"/>
  <c r="O78" i="15" s="1"/>
  <c r="B37" i="16"/>
  <c r="N24" i="16"/>
  <c r="O24" i="16" s="1"/>
  <c r="N32" i="16"/>
  <c r="O32" i="16" s="1"/>
  <c r="D54" i="16"/>
  <c r="N21" i="15"/>
  <c r="O21" i="15" s="1"/>
  <c r="N24" i="15"/>
  <c r="O24" i="15" s="1"/>
  <c r="N34" i="15"/>
  <c r="O34" i="15" s="1"/>
  <c r="N75" i="15"/>
  <c r="O75" i="15" s="1"/>
  <c r="N90" i="15"/>
  <c r="O90" i="15" s="1"/>
  <c r="N20" i="16"/>
  <c r="O20" i="16" s="1"/>
  <c r="E85" i="16"/>
  <c r="N64" i="16"/>
  <c r="O64" i="16" s="1"/>
  <c r="N67" i="16"/>
  <c r="O67" i="16" s="1"/>
  <c r="H85" i="16"/>
  <c r="N19" i="16"/>
  <c r="O19" i="16" s="1"/>
  <c r="N58" i="16"/>
  <c r="O58" i="16" s="1"/>
  <c r="K54" i="16"/>
  <c r="C85" i="16"/>
  <c r="F85" i="16"/>
  <c r="F95" i="16" s="1"/>
  <c r="N90" i="16"/>
  <c r="O90" i="16" s="1"/>
  <c r="H85" i="15"/>
  <c r="D95" i="15"/>
  <c r="E37" i="15"/>
  <c r="F54" i="15"/>
  <c r="B94" i="15"/>
  <c r="N58" i="15"/>
  <c r="O58" i="15" s="1"/>
  <c r="G95" i="15" l="1"/>
  <c r="M24" i="5"/>
  <c r="M64" i="5"/>
  <c r="D95" i="16"/>
  <c r="H95" i="16"/>
  <c r="E95" i="16"/>
  <c r="E95" i="15"/>
  <c r="B95" i="16"/>
  <c r="K54" i="15"/>
  <c r="N54" i="15" s="1"/>
  <c r="H37" i="15"/>
  <c r="N37" i="15" s="1"/>
  <c r="N37" i="16"/>
  <c r="N41" i="16"/>
  <c r="O41" i="16" s="1"/>
  <c r="N54" i="16"/>
  <c r="N61" i="16"/>
  <c r="O61" i="16" s="1"/>
  <c r="I85" i="16"/>
  <c r="I95" i="16" s="1"/>
  <c r="C95" i="16"/>
  <c r="N94" i="15"/>
  <c r="B95" i="15"/>
  <c r="F95" i="15"/>
  <c r="N41" i="15"/>
  <c r="O41" i="15" s="1"/>
  <c r="N61" i="15"/>
  <c r="O61" i="15" s="1"/>
  <c r="C85" i="15"/>
  <c r="I85" i="15"/>
  <c r="I95" i="15" s="1"/>
  <c r="H95" i="15" l="1"/>
  <c r="J85" i="16"/>
  <c r="J95" i="16" s="1"/>
  <c r="C95" i="15"/>
  <c r="J85" i="15"/>
  <c r="J95" i="15" s="1"/>
  <c r="N93" i="5"/>
  <c r="N92" i="5"/>
  <c r="N91" i="5"/>
  <c r="N89" i="5"/>
  <c r="N88" i="5"/>
  <c r="N87" i="5"/>
  <c r="N84" i="5"/>
  <c r="N83" i="5"/>
  <c r="O83" i="5" s="1"/>
  <c r="N82" i="5"/>
  <c r="N81" i="5"/>
  <c r="N79" i="5"/>
  <c r="N77" i="5"/>
  <c r="N76" i="5"/>
  <c r="N74" i="5"/>
  <c r="N73" i="5"/>
  <c r="N72" i="5"/>
  <c r="N71" i="5"/>
  <c r="N70" i="5"/>
  <c r="N69" i="5"/>
  <c r="N63" i="5"/>
  <c r="N59" i="5"/>
  <c r="N57" i="5"/>
  <c r="N56" i="5"/>
  <c r="N53" i="5"/>
  <c r="N52" i="5"/>
  <c r="N51" i="5"/>
  <c r="N49" i="5"/>
  <c r="N48" i="5"/>
  <c r="N45" i="5"/>
  <c r="N44" i="5"/>
  <c r="N43" i="5"/>
  <c r="N42" i="5"/>
  <c r="N40" i="5"/>
  <c r="N36" i="5"/>
  <c r="N35" i="5"/>
  <c r="N30" i="5"/>
  <c r="N29" i="5"/>
  <c r="N28" i="5"/>
  <c r="N26" i="5"/>
  <c r="N23" i="5"/>
  <c r="N15" i="5"/>
  <c r="N14" i="5"/>
  <c r="N13" i="5"/>
  <c r="N12" i="5"/>
  <c r="N11" i="5"/>
  <c r="N10" i="5"/>
  <c r="N9" i="5"/>
  <c r="N8" i="5"/>
  <c r="N7" i="5"/>
  <c r="B54" i="1"/>
  <c r="B75" i="1"/>
  <c r="O37" i="15" s="1"/>
  <c r="B92" i="1"/>
  <c r="O54" i="15" s="1"/>
  <c r="B132" i="1"/>
  <c r="O94" i="15" s="1"/>
  <c r="A6" i="5"/>
  <c r="K85" i="16" l="1"/>
  <c r="K95" i="16" s="1"/>
  <c r="K85" i="15"/>
  <c r="K95" i="15" s="1"/>
  <c r="G30" i="1"/>
  <c r="F30" i="1"/>
  <c r="E30" i="1"/>
  <c r="D30" i="1"/>
  <c r="C30" i="1"/>
  <c r="E144" i="1"/>
  <c r="D144" i="1"/>
  <c r="C144" i="1"/>
  <c r="A144" i="1"/>
  <c r="L85" i="16" l="1"/>
  <c r="L95" i="16" s="1"/>
  <c r="L85" i="15"/>
  <c r="B22" i="14"/>
  <c r="G11" i="3"/>
  <c r="F11" i="3"/>
  <c r="E11" i="3"/>
  <c r="D11" i="3"/>
  <c r="C11" i="3"/>
  <c r="B11" i="3"/>
  <c r="B13" i="3" s="1"/>
  <c r="G3" i="3"/>
  <c r="F3" i="3"/>
  <c r="E3" i="3"/>
  <c r="D3" i="3"/>
  <c r="C3" i="3"/>
  <c r="B3" i="3"/>
  <c r="A1" i="3"/>
  <c r="M85" i="16" l="1"/>
  <c r="N60" i="16"/>
  <c r="O60" i="16" s="1"/>
  <c r="L95" i="15"/>
  <c r="M85" i="15"/>
  <c r="M95" i="15" s="1"/>
  <c r="N60" i="15"/>
  <c r="O60" i="15" s="1"/>
  <c r="G31" i="1"/>
  <c r="F31" i="1"/>
  <c r="E31" i="1"/>
  <c r="D31" i="1"/>
  <c r="C31" i="1"/>
  <c r="E32" i="1"/>
  <c r="D32" i="1"/>
  <c r="C32" i="1"/>
  <c r="G32" i="1"/>
  <c r="F32" i="1"/>
  <c r="M95" i="16" l="1"/>
  <c r="N85" i="16"/>
  <c r="N95" i="15"/>
  <c r="N85" i="15"/>
  <c r="C10" i="3"/>
  <c r="N95" i="16" l="1"/>
  <c r="N68" i="5" l="1"/>
  <c r="G92" i="1" l="1"/>
  <c r="G132" i="1" l="1"/>
  <c r="F132" i="1"/>
  <c r="G144" i="1"/>
  <c r="F92" i="1" l="1"/>
  <c r="F144" i="1" l="1"/>
  <c r="E132" i="1" l="1"/>
  <c r="E92" i="1" l="1"/>
  <c r="N50" i="5" l="1"/>
  <c r="N46" i="5"/>
  <c r="D132" i="1" l="1"/>
  <c r="O94" i="16" s="1"/>
  <c r="D92" i="1" l="1"/>
  <c r="O54" i="16" s="1"/>
  <c r="N78" i="5" l="1"/>
  <c r="N58" i="5"/>
  <c r="N67" i="5" l="1"/>
  <c r="N64" i="5"/>
  <c r="N62" i="5"/>
  <c r="N34" i="5"/>
  <c r="N60" i="5"/>
  <c r="N61" i="5" l="1"/>
  <c r="N39" i="5" l="1"/>
  <c r="N90" i="5" l="1"/>
  <c r="C13" i="3" l="1"/>
  <c r="D10" i="3" s="1"/>
  <c r="D13" i="3" s="1"/>
  <c r="E10" i="3" s="1"/>
  <c r="E13" i="3" s="1"/>
  <c r="F10" i="3" s="1"/>
  <c r="F13" i="3" s="1"/>
  <c r="G10" i="3" s="1"/>
  <c r="G13" i="3" s="1"/>
  <c r="N25" i="5"/>
  <c r="N27" i="5"/>
  <c r="N24" i="5"/>
  <c r="N66" i="5"/>
  <c r="N80" i="5"/>
  <c r="N19" i="5"/>
  <c r="N32" i="5"/>
  <c r="N65" i="5"/>
  <c r="N75" i="5"/>
  <c r="N31" i="5"/>
  <c r="N33" i="5"/>
  <c r="N21" i="5"/>
  <c r="N20" i="5"/>
  <c r="N22" i="5"/>
  <c r="C132" i="1" l="1"/>
  <c r="B123" i="1" l="1"/>
  <c r="O85" i="15" s="1"/>
  <c r="C123" i="1" l="1"/>
  <c r="C92" i="1"/>
  <c r="D123" i="1" l="1"/>
  <c r="O85" i="16" s="1"/>
  <c r="D75" i="1" l="1"/>
  <c r="O37" i="16" s="1"/>
  <c r="E75" i="1" l="1"/>
  <c r="F75" i="1" l="1"/>
  <c r="G75" i="1" l="1"/>
  <c r="G15" i="1" l="1"/>
  <c r="F15" i="1"/>
  <c r="E15" i="1"/>
  <c r="D15" i="1"/>
  <c r="C15" i="1"/>
  <c r="G9" i="1"/>
  <c r="F9" i="1"/>
  <c r="E9" i="1"/>
  <c r="O8" i="5"/>
  <c r="A2" i="5"/>
  <c r="A7" i="5"/>
  <c r="M94" i="5"/>
  <c r="L94" i="5"/>
  <c r="K94" i="5"/>
  <c r="J94" i="5"/>
  <c r="I94" i="5"/>
  <c r="H94" i="5"/>
  <c r="G94" i="5"/>
  <c r="F94" i="5"/>
  <c r="E94" i="5"/>
  <c r="D94" i="5"/>
  <c r="C94" i="5"/>
  <c r="B94" i="5"/>
  <c r="A94" i="5"/>
  <c r="O93" i="5"/>
  <c r="A93" i="5"/>
  <c r="O92" i="5"/>
  <c r="A92" i="5"/>
  <c r="O91" i="5"/>
  <c r="A91" i="5"/>
  <c r="O90" i="5"/>
  <c r="A90" i="5"/>
  <c r="O89" i="5"/>
  <c r="A89" i="5"/>
  <c r="O88" i="5"/>
  <c r="A88" i="5"/>
  <c r="O87" i="5"/>
  <c r="A87" i="5"/>
  <c r="A86" i="5"/>
  <c r="M85" i="5"/>
  <c r="L85" i="5"/>
  <c r="K85" i="5"/>
  <c r="J85" i="5"/>
  <c r="I85" i="5"/>
  <c r="H85" i="5"/>
  <c r="G85" i="5"/>
  <c r="F85" i="5"/>
  <c r="E85" i="5"/>
  <c r="D85" i="5"/>
  <c r="C85" i="5"/>
  <c r="B85" i="5"/>
  <c r="A85" i="5"/>
  <c r="O84" i="5"/>
  <c r="A83" i="5"/>
  <c r="O82" i="5"/>
  <c r="A82" i="5"/>
  <c r="O81" i="5"/>
  <c r="A81" i="5"/>
  <c r="O80" i="5"/>
  <c r="A80" i="5"/>
  <c r="O79" i="5"/>
  <c r="A79" i="5"/>
  <c r="O78" i="5"/>
  <c r="A78" i="5"/>
  <c r="O77" i="5"/>
  <c r="A77" i="5"/>
  <c r="O76" i="5"/>
  <c r="A76" i="5"/>
  <c r="O75" i="5"/>
  <c r="A75" i="5"/>
  <c r="O74" i="5"/>
  <c r="A74" i="5"/>
  <c r="O73" i="5"/>
  <c r="A73" i="5"/>
  <c r="O72" i="5"/>
  <c r="A72" i="5"/>
  <c r="O71" i="5"/>
  <c r="A71" i="5"/>
  <c r="O70" i="5"/>
  <c r="A70" i="5"/>
  <c r="O69" i="5"/>
  <c r="A69" i="5"/>
  <c r="O68" i="5"/>
  <c r="A68" i="5"/>
  <c r="O67" i="5"/>
  <c r="A67" i="5"/>
  <c r="O66" i="5"/>
  <c r="A66" i="5"/>
  <c r="O65" i="5"/>
  <c r="A65" i="5"/>
  <c r="O64" i="5"/>
  <c r="A64" i="5"/>
  <c r="O63" i="5"/>
  <c r="A63" i="5"/>
  <c r="O62" i="5"/>
  <c r="A62" i="5"/>
  <c r="O61" i="5"/>
  <c r="A61" i="5"/>
  <c r="O60" i="5"/>
  <c r="A60" i="5"/>
  <c r="O59" i="5"/>
  <c r="A59" i="5"/>
  <c r="O58" i="5"/>
  <c r="A58" i="5"/>
  <c r="O57" i="5"/>
  <c r="A57" i="5"/>
  <c r="O56" i="5"/>
  <c r="A56" i="5"/>
  <c r="A55" i="5"/>
  <c r="M54" i="5"/>
  <c r="L54" i="5"/>
  <c r="K54" i="5"/>
  <c r="J54" i="5"/>
  <c r="I54" i="5"/>
  <c r="H54" i="5"/>
  <c r="G54" i="5"/>
  <c r="F54" i="5"/>
  <c r="E54" i="5"/>
  <c r="C54" i="5"/>
  <c r="A54" i="5"/>
  <c r="O53" i="5"/>
  <c r="A53" i="5"/>
  <c r="O52" i="5"/>
  <c r="A52" i="5"/>
  <c r="O51" i="5"/>
  <c r="A51" i="5"/>
  <c r="O50" i="5"/>
  <c r="A50" i="5"/>
  <c r="O49" i="5"/>
  <c r="A49" i="5"/>
  <c r="O48" i="5"/>
  <c r="A48" i="5"/>
  <c r="A47" i="5"/>
  <c r="O46" i="5"/>
  <c r="A46" i="5"/>
  <c r="O45" i="5"/>
  <c r="A45" i="5"/>
  <c r="O44" i="5"/>
  <c r="A44" i="5"/>
  <c r="O43" i="5"/>
  <c r="A43" i="5"/>
  <c r="O42" i="5"/>
  <c r="A42" i="5"/>
  <c r="A41" i="5"/>
  <c r="O40" i="5"/>
  <c r="A40" i="5"/>
  <c r="O39" i="5"/>
  <c r="A39" i="5"/>
  <c r="A38" i="5"/>
  <c r="M37" i="5"/>
  <c r="L37" i="5"/>
  <c r="K37" i="5"/>
  <c r="J37" i="5"/>
  <c r="I37" i="5"/>
  <c r="H37" i="5"/>
  <c r="G37" i="5"/>
  <c r="F37" i="5"/>
  <c r="E37" i="5"/>
  <c r="D37" i="5"/>
  <c r="C37" i="5"/>
  <c r="B37" i="5"/>
  <c r="A37" i="5"/>
  <c r="O36" i="5"/>
  <c r="O35" i="5"/>
  <c r="O34" i="5"/>
  <c r="A34" i="5"/>
  <c r="A33" i="5"/>
  <c r="O32" i="5"/>
  <c r="A32" i="5"/>
  <c r="O31" i="5"/>
  <c r="A31" i="5"/>
  <c r="O30" i="5"/>
  <c r="A30" i="5"/>
  <c r="O29" i="5"/>
  <c r="A29" i="5"/>
  <c r="O28" i="5"/>
  <c r="A28" i="5"/>
  <c r="O27" i="5"/>
  <c r="A27" i="5"/>
  <c r="O26" i="5"/>
  <c r="A26" i="5"/>
  <c r="O25" i="5"/>
  <c r="A25" i="5"/>
  <c r="O24" i="5"/>
  <c r="A24" i="5"/>
  <c r="O23" i="5"/>
  <c r="A23" i="5"/>
  <c r="O22" i="5"/>
  <c r="A22" i="5"/>
  <c r="O21" i="5"/>
  <c r="A21" i="5"/>
  <c r="O20" i="5"/>
  <c r="A20" i="5"/>
  <c r="O19" i="5"/>
  <c r="A19" i="5"/>
  <c r="A18" i="5"/>
  <c r="O15" i="5"/>
  <c r="O14" i="5"/>
  <c r="O13" i="5"/>
  <c r="O12" i="5"/>
  <c r="O11" i="5"/>
  <c r="O10" i="5"/>
  <c r="O9" i="5"/>
  <c r="O7" i="5"/>
  <c r="G145" i="1"/>
  <c r="F145" i="1"/>
  <c r="E145" i="1"/>
  <c r="D145" i="1"/>
  <c r="G123" i="1" l="1"/>
  <c r="G133" i="1" s="1"/>
  <c r="E37" i="1"/>
  <c r="E38" i="1"/>
  <c r="F37" i="1"/>
  <c r="F38" i="1"/>
  <c r="G37" i="1"/>
  <c r="G38" i="1"/>
  <c r="E36" i="1"/>
  <c r="G36" i="1"/>
  <c r="D36" i="1"/>
  <c r="F36" i="1"/>
  <c r="C39" i="1"/>
  <c r="D39" i="1"/>
  <c r="D38" i="1"/>
  <c r="N94" i="5"/>
  <c r="O94" i="5" s="1"/>
  <c r="N37" i="5"/>
  <c r="C40" i="1"/>
  <c r="C33" i="1"/>
  <c r="C34" i="1" s="1"/>
  <c r="C35" i="1" s="1"/>
  <c r="D40" i="1"/>
  <c r="D33" i="1"/>
  <c r="D34" i="1" s="1"/>
  <c r="D35" i="1" s="1"/>
  <c r="F40" i="1"/>
  <c r="F33" i="1"/>
  <c r="F34" i="1" s="1"/>
  <c r="F35" i="1" s="1"/>
  <c r="G40" i="1"/>
  <c r="G33" i="1"/>
  <c r="G34" i="1" s="1"/>
  <c r="E40" i="1"/>
  <c r="E33" i="1"/>
  <c r="E34" i="1" s="1"/>
  <c r="E35" i="1" s="1"/>
  <c r="F143" i="1"/>
  <c r="F39" i="1"/>
  <c r="G143" i="1"/>
  <c r="G39" i="1"/>
  <c r="E143" i="1"/>
  <c r="E39" i="1"/>
  <c r="C143" i="1"/>
  <c r="D143" i="1"/>
  <c r="D133" i="1"/>
  <c r="O95" i="16" s="1"/>
  <c r="B133" i="1"/>
  <c r="I95" i="5"/>
  <c r="M95" i="5"/>
  <c r="J95" i="5"/>
  <c r="K95" i="5"/>
  <c r="E95" i="5"/>
  <c r="N85" i="5"/>
  <c r="O85" i="5" s="1"/>
  <c r="F95" i="5"/>
  <c r="H95" i="5"/>
  <c r="L95" i="5"/>
  <c r="C95" i="5"/>
  <c r="G95" i="5"/>
  <c r="F123" i="1" l="1"/>
  <c r="F133" i="1" s="1"/>
  <c r="F165" i="1" s="1"/>
  <c r="E123" i="1"/>
  <c r="E133" i="1" s="1"/>
  <c r="E171" i="1" s="1"/>
  <c r="O95" i="15"/>
  <c r="B136" i="1"/>
  <c r="B6" i="3" s="1"/>
  <c r="B7" i="3" s="1"/>
  <c r="G35" i="1"/>
  <c r="G41" i="1" s="1"/>
  <c r="G42" i="1" s="1"/>
  <c r="G43" i="1" s="1"/>
  <c r="G54" i="1" s="1"/>
  <c r="G136" i="1" s="1"/>
  <c r="B161" i="1"/>
  <c r="B170" i="1"/>
  <c r="B166" i="1"/>
  <c r="B162" i="1"/>
  <c r="B158" i="1"/>
  <c r="B154" i="1"/>
  <c r="B165" i="1"/>
  <c r="B171" i="1"/>
  <c r="B167" i="1"/>
  <c r="B163" i="1"/>
  <c r="B159" i="1"/>
  <c r="B155" i="1"/>
  <c r="B168" i="1"/>
  <c r="B164" i="1"/>
  <c r="B160" i="1"/>
  <c r="B156" i="1"/>
  <c r="B169" i="1"/>
  <c r="B157" i="1"/>
  <c r="B172" i="1"/>
  <c r="D171" i="1"/>
  <c r="D163" i="1"/>
  <c r="D164" i="1"/>
  <c r="D170" i="1"/>
  <c r="D158" i="1"/>
  <c r="D165" i="1"/>
  <c r="D161" i="1"/>
  <c r="D154" i="1"/>
  <c r="D159" i="1"/>
  <c r="D169" i="1"/>
  <c r="D167" i="1"/>
  <c r="D160" i="1"/>
  <c r="D162" i="1"/>
  <c r="D156" i="1"/>
  <c r="D157" i="1"/>
  <c r="D155" i="1"/>
  <c r="D166" i="1"/>
  <c r="D168" i="1"/>
  <c r="D172" i="1"/>
  <c r="G164" i="1"/>
  <c r="G165" i="1"/>
  <c r="G161" i="1"/>
  <c r="G170" i="1"/>
  <c r="G158" i="1"/>
  <c r="G171" i="1"/>
  <c r="G163" i="1"/>
  <c r="G167" i="1"/>
  <c r="G154" i="1"/>
  <c r="G169" i="1"/>
  <c r="G160" i="1"/>
  <c r="G159" i="1"/>
  <c r="G162" i="1"/>
  <c r="G157" i="1"/>
  <c r="G155" i="1"/>
  <c r="G156" i="1"/>
  <c r="G168" i="1"/>
  <c r="G166" i="1"/>
  <c r="G172" i="1"/>
  <c r="D41" i="1"/>
  <c r="D42" i="1" s="1"/>
  <c r="D43" i="1" s="1"/>
  <c r="B179" i="1"/>
  <c r="B187" i="1"/>
  <c r="B196" i="1"/>
  <c r="B204" i="1"/>
  <c r="B212" i="1"/>
  <c r="B219" i="1"/>
  <c r="B228" i="1"/>
  <c r="B210" i="1"/>
  <c r="B195" i="1"/>
  <c r="B227" i="1"/>
  <c r="B180" i="1"/>
  <c r="B188" i="1"/>
  <c r="B197" i="1"/>
  <c r="B205" i="1"/>
  <c r="B213" i="1"/>
  <c r="B194" i="1"/>
  <c r="B211" i="1"/>
  <c r="B181" i="1"/>
  <c r="B198" i="1"/>
  <c r="B206" i="1"/>
  <c r="B214" i="1"/>
  <c r="B222" i="1"/>
  <c r="B185" i="1"/>
  <c r="B218" i="1"/>
  <c r="B174" i="1"/>
  <c r="B182" i="1"/>
  <c r="B191" i="1"/>
  <c r="B199" i="1"/>
  <c r="B207" i="1"/>
  <c r="B215" i="1"/>
  <c r="B223" i="1"/>
  <c r="B226" i="1"/>
  <c r="B186" i="1"/>
  <c r="B175" i="1"/>
  <c r="B183" i="1"/>
  <c r="B192" i="1"/>
  <c r="B200" i="1"/>
  <c r="B208" i="1"/>
  <c r="B216" i="1"/>
  <c r="B224" i="1"/>
  <c r="B202" i="1"/>
  <c r="B203" i="1"/>
  <c r="B173" i="1"/>
  <c r="B176" i="1"/>
  <c r="B184" i="1"/>
  <c r="B193" i="1"/>
  <c r="B201" i="1"/>
  <c r="B209" i="1"/>
  <c r="B225" i="1"/>
  <c r="B177" i="1"/>
  <c r="B178" i="1"/>
  <c r="B189" i="1"/>
  <c r="B229" i="1"/>
  <c r="B217" i="1"/>
  <c r="B220" i="1"/>
  <c r="D146" i="1"/>
  <c r="D173" i="1"/>
  <c r="D178" i="1"/>
  <c r="D186" i="1"/>
  <c r="D179" i="1"/>
  <c r="D187" i="1"/>
  <c r="D196" i="1"/>
  <c r="D204" i="1"/>
  <c r="D212" i="1"/>
  <c r="D219" i="1"/>
  <c r="D228" i="1"/>
  <c r="D226" i="1"/>
  <c r="D180" i="1"/>
  <c r="D188" i="1"/>
  <c r="D197" i="1"/>
  <c r="D213" i="1"/>
  <c r="D202" i="1"/>
  <c r="D211" i="1"/>
  <c r="D198" i="1"/>
  <c r="D206" i="1"/>
  <c r="D214" i="1"/>
  <c r="D182" i="1"/>
  <c r="D191" i="1"/>
  <c r="D199" i="1"/>
  <c r="D207" i="1"/>
  <c r="D223" i="1"/>
  <c r="D185" i="1"/>
  <c r="D218" i="1"/>
  <c r="D175" i="1"/>
  <c r="D183" i="1"/>
  <c r="D192" i="1"/>
  <c r="D208" i="1"/>
  <c r="D216" i="1"/>
  <c r="D224" i="1"/>
  <c r="D227" i="1"/>
  <c r="D184" i="1"/>
  <c r="D209" i="1"/>
  <c r="D194" i="1"/>
  <c r="D203" i="1"/>
  <c r="D181" i="1"/>
  <c r="D176" i="1"/>
  <c r="D205" i="1"/>
  <c r="D225" i="1"/>
  <c r="D217" i="1"/>
  <c r="D215" i="1"/>
  <c r="D222" i="1"/>
  <c r="D201" i="1"/>
  <c r="D210" i="1"/>
  <c r="D229" i="1"/>
  <c r="D195" i="1"/>
  <c r="D193" i="1"/>
  <c r="D177" i="1"/>
  <c r="D174" i="1"/>
  <c r="D189" i="1"/>
  <c r="D200" i="1"/>
  <c r="D220" i="1"/>
  <c r="G146" i="1"/>
  <c r="G179" i="1"/>
  <c r="G187" i="1"/>
  <c r="G196" i="1"/>
  <c r="G204" i="1"/>
  <c r="G212" i="1"/>
  <c r="G219" i="1"/>
  <c r="G228" i="1"/>
  <c r="G203" i="1"/>
  <c r="G180" i="1"/>
  <c r="G188" i="1"/>
  <c r="G197" i="1"/>
  <c r="G213" i="1"/>
  <c r="G185" i="1"/>
  <c r="G178" i="1"/>
  <c r="G218" i="1"/>
  <c r="G173" i="1"/>
  <c r="G198" i="1"/>
  <c r="G206" i="1"/>
  <c r="G214" i="1"/>
  <c r="G227" i="1"/>
  <c r="G182" i="1"/>
  <c r="G191" i="1"/>
  <c r="G207" i="1"/>
  <c r="G223" i="1"/>
  <c r="G226" i="1"/>
  <c r="G186" i="1"/>
  <c r="G175" i="1"/>
  <c r="G183" i="1"/>
  <c r="G192" i="1"/>
  <c r="G208" i="1"/>
  <c r="G216" i="1"/>
  <c r="G224" i="1"/>
  <c r="G202" i="1"/>
  <c r="G211" i="1"/>
  <c r="G184" i="1"/>
  <c r="G209" i="1"/>
  <c r="G194" i="1"/>
  <c r="G193" i="1"/>
  <c r="G215" i="1"/>
  <c r="G176" i="1"/>
  <c r="G217" i="1"/>
  <c r="G177" i="1"/>
  <c r="G181" i="1"/>
  <c r="G195" i="1"/>
  <c r="G205" i="1"/>
  <c r="G210" i="1"/>
  <c r="G199" i="1"/>
  <c r="G225" i="1"/>
  <c r="G174" i="1"/>
  <c r="G189" i="1"/>
  <c r="G222" i="1"/>
  <c r="G229" i="1"/>
  <c r="G201" i="1"/>
  <c r="G200" i="1"/>
  <c r="G220" i="1"/>
  <c r="E41" i="1"/>
  <c r="E42" i="1" s="1"/>
  <c r="E43" i="1" s="1"/>
  <c r="E54" i="1" s="1"/>
  <c r="C41" i="1"/>
  <c r="C42" i="1" s="1"/>
  <c r="C43" i="1" s="1"/>
  <c r="F41" i="1"/>
  <c r="F42" i="1" s="1"/>
  <c r="F43" i="1" s="1"/>
  <c r="F54" i="1" s="1"/>
  <c r="F186" i="1" l="1"/>
  <c r="F164" i="1"/>
  <c r="F191" i="1"/>
  <c r="F136" i="1"/>
  <c r="F201" i="1"/>
  <c r="F181" i="1"/>
  <c r="F211" i="1"/>
  <c r="F224" i="1"/>
  <c r="F215" i="1"/>
  <c r="F216" i="1"/>
  <c r="F228" i="1"/>
  <c r="F200" i="1"/>
  <c r="F203" i="1"/>
  <c r="F207" i="1"/>
  <c r="F229" i="1"/>
  <c r="F195" i="1"/>
  <c r="F176" i="1"/>
  <c r="F183" i="1"/>
  <c r="F206" i="1"/>
  <c r="F146" i="1"/>
  <c r="F222" i="1"/>
  <c r="F225" i="1"/>
  <c r="F227" i="1"/>
  <c r="F175" i="1"/>
  <c r="F198" i="1"/>
  <c r="F160" i="1"/>
  <c r="F166" i="1"/>
  <c r="F170" i="1"/>
  <c r="F189" i="1"/>
  <c r="F177" i="1"/>
  <c r="F217" i="1"/>
  <c r="F205" i="1"/>
  <c r="F209" i="1"/>
  <c r="F178" i="1"/>
  <c r="F208" i="1"/>
  <c r="F226" i="1"/>
  <c r="F182" i="1"/>
  <c r="F197" i="1"/>
  <c r="F204" i="1"/>
  <c r="F162" i="1"/>
  <c r="F171" i="1"/>
  <c r="F155" i="1"/>
  <c r="F220" i="1"/>
  <c r="F174" i="1"/>
  <c r="F210" i="1"/>
  <c r="F193" i="1"/>
  <c r="F199" i="1"/>
  <c r="F184" i="1"/>
  <c r="F194" i="1"/>
  <c r="F192" i="1"/>
  <c r="F223" i="1"/>
  <c r="F218" i="1"/>
  <c r="F188" i="1"/>
  <c r="F196" i="1"/>
  <c r="F168" i="1"/>
  <c r="F167" i="1"/>
  <c r="F163" i="1"/>
  <c r="F185" i="1"/>
  <c r="F202" i="1"/>
  <c r="F180" i="1"/>
  <c r="F219" i="1"/>
  <c r="F187" i="1"/>
  <c r="F157" i="1"/>
  <c r="F159" i="1"/>
  <c r="F154" i="1"/>
  <c r="F161" i="1"/>
  <c r="F214" i="1"/>
  <c r="F213" i="1"/>
  <c r="F173" i="1"/>
  <c r="F212" i="1"/>
  <c r="F179" i="1"/>
  <c r="F172" i="1"/>
  <c r="F156" i="1"/>
  <c r="F169" i="1"/>
  <c r="F158" i="1"/>
  <c r="E229" i="1"/>
  <c r="E199" i="1"/>
  <c r="E202" i="1"/>
  <c r="E216" i="1"/>
  <c r="E207" i="1"/>
  <c r="E214" i="1"/>
  <c r="E185" i="1"/>
  <c r="E212" i="1"/>
  <c r="E179" i="1"/>
  <c r="E172" i="1"/>
  <c r="E159" i="1"/>
  <c r="E164" i="1"/>
  <c r="E136" i="1"/>
  <c r="E189" i="1"/>
  <c r="E215" i="1"/>
  <c r="E210" i="1"/>
  <c r="E193" i="1"/>
  <c r="E186" i="1"/>
  <c r="E184" i="1"/>
  <c r="E192" i="1"/>
  <c r="E194" i="1"/>
  <c r="E182" i="1"/>
  <c r="E198" i="1"/>
  <c r="E197" i="1"/>
  <c r="E228" i="1"/>
  <c r="E196" i="1"/>
  <c r="E146" i="1"/>
  <c r="E155" i="1"/>
  <c r="E158" i="1"/>
  <c r="E200" i="1"/>
  <c r="E177" i="1"/>
  <c r="E176" i="1"/>
  <c r="E175" i="1"/>
  <c r="E180" i="1"/>
  <c r="E220" i="1"/>
  <c r="E174" i="1"/>
  <c r="E222" i="1"/>
  <c r="E181" i="1"/>
  <c r="E205" i="1"/>
  <c r="E226" i="1"/>
  <c r="E224" i="1"/>
  <c r="E183" i="1"/>
  <c r="E223" i="1"/>
  <c r="E178" i="1"/>
  <c r="E218" i="1"/>
  <c r="E188" i="1"/>
  <c r="E219" i="1"/>
  <c r="E187" i="1"/>
  <c r="E156" i="1"/>
  <c r="E170" i="1"/>
  <c r="E201" i="1"/>
  <c r="E195" i="1"/>
  <c r="E217" i="1"/>
  <c r="E225" i="1"/>
  <c r="E211" i="1"/>
  <c r="E209" i="1"/>
  <c r="E208" i="1"/>
  <c r="E227" i="1"/>
  <c r="E191" i="1"/>
  <c r="E206" i="1"/>
  <c r="E213" i="1"/>
  <c r="E203" i="1"/>
  <c r="E204" i="1"/>
  <c r="E173" i="1"/>
  <c r="E168" i="1"/>
  <c r="E167" i="1"/>
  <c r="E163" i="1"/>
  <c r="E157" i="1"/>
  <c r="E154" i="1"/>
  <c r="E160" i="1"/>
  <c r="E165" i="1"/>
  <c r="E166" i="1"/>
  <c r="E162" i="1"/>
  <c r="E169" i="1"/>
  <c r="E161" i="1"/>
  <c r="D54" i="1"/>
  <c r="D136" i="1" s="1"/>
  <c r="F6" i="16"/>
  <c r="D6" i="16"/>
  <c r="D16" i="16" s="1"/>
  <c r="D96" i="16" s="1"/>
  <c r="M6" i="16"/>
  <c r="M16" i="16" s="1"/>
  <c r="M96" i="16" s="1"/>
  <c r="E6" i="16"/>
  <c r="E16" i="16" s="1"/>
  <c r="E96" i="16" s="1"/>
  <c r="L6" i="16"/>
  <c r="L16" i="16" s="1"/>
  <c r="L96" i="16" s="1"/>
  <c r="K6" i="16"/>
  <c r="K16" i="16" s="1"/>
  <c r="K96" i="16" s="1"/>
  <c r="C6" i="16"/>
  <c r="C16" i="16" s="1"/>
  <c r="C96" i="16" s="1"/>
  <c r="J6" i="16"/>
  <c r="J16" i="16" s="1"/>
  <c r="J96" i="16" s="1"/>
  <c r="B6" i="16"/>
  <c r="B16" i="16" s="1"/>
  <c r="B96" i="16" s="1"/>
  <c r="I6" i="16"/>
  <c r="I16" i="16" s="1"/>
  <c r="I96" i="16" s="1"/>
  <c r="H6" i="16"/>
  <c r="H16" i="16" s="1"/>
  <c r="H96" i="16" s="1"/>
  <c r="G6" i="16"/>
  <c r="G16" i="16" s="1"/>
  <c r="G96" i="16" s="1"/>
  <c r="C54" i="1"/>
  <c r="M16" i="15"/>
  <c r="M96" i="15" s="1"/>
  <c r="E16" i="15"/>
  <c r="E96" i="15" s="1"/>
  <c r="L16" i="15"/>
  <c r="L96" i="15" s="1"/>
  <c r="D16" i="15"/>
  <c r="D96" i="15" s="1"/>
  <c r="F16" i="15"/>
  <c r="F96" i="15" s="1"/>
  <c r="K16" i="15"/>
  <c r="K96" i="15" s="1"/>
  <c r="C16" i="15"/>
  <c r="C96" i="15" s="1"/>
  <c r="J16" i="15"/>
  <c r="J96" i="15" s="1"/>
  <c r="I16" i="15"/>
  <c r="I96" i="15" s="1"/>
  <c r="H16" i="15"/>
  <c r="H96" i="15" s="1"/>
  <c r="G16" i="15"/>
  <c r="G96" i="15" s="1"/>
  <c r="D44" i="1"/>
  <c r="B230" i="1"/>
  <c r="B233" i="1" s="1"/>
  <c r="G230" i="1"/>
  <c r="G233" i="1" s="1"/>
  <c r="D232" i="1"/>
  <c r="D230" i="1"/>
  <c r="D233" i="1" s="1"/>
  <c r="B232" i="1"/>
  <c r="G232" i="1"/>
  <c r="H6" i="5"/>
  <c r="G6" i="5"/>
  <c r="F6" i="5"/>
  <c r="C6" i="5"/>
  <c r="J6" i="5"/>
  <c r="B6" i="5"/>
  <c r="I6" i="5"/>
  <c r="M6" i="5"/>
  <c r="E6" i="5"/>
  <c r="K6" i="5"/>
  <c r="L6" i="5"/>
  <c r="D6" i="5"/>
  <c r="E44" i="1"/>
  <c r="G44" i="1"/>
  <c r="F44" i="1"/>
  <c r="C44" i="1"/>
  <c r="F230" i="1" l="1"/>
  <c r="F233" i="1" s="1"/>
  <c r="F232" i="1"/>
  <c r="E232" i="1"/>
  <c r="E230" i="1"/>
  <c r="E233" i="1" s="1"/>
  <c r="B16" i="15"/>
  <c r="B96" i="15" s="1"/>
  <c r="N6" i="15"/>
  <c r="O6" i="15" s="1"/>
  <c r="N6" i="16"/>
  <c r="O6" i="16" s="1"/>
  <c r="F16" i="16"/>
  <c r="F96" i="16" s="1"/>
  <c r="N6" i="5"/>
  <c r="J16" i="5"/>
  <c r="J96" i="5" s="1"/>
  <c r="N96" i="16" l="1"/>
  <c r="N16" i="16"/>
  <c r="O16" i="16" s="1"/>
  <c r="N16" i="15"/>
  <c r="O16" i="15" s="1"/>
  <c r="I16" i="5"/>
  <c r="I96" i="5" s="1"/>
  <c r="B16" i="5"/>
  <c r="K16" i="5"/>
  <c r="K96" i="5" s="1"/>
  <c r="E16" i="5"/>
  <c r="E96" i="5" s="1"/>
  <c r="F16" i="5"/>
  <c r="F96" i="5" s="1"/>
  <c r="M16" i="5"/>
  <c r="M96" i="5" s="1"/>
  <c r="D16" i="5"/>
  <c r="H16" i="5"/>
  <c r="H96" i="5" s="1"/>
  <c r="C16" i="5"/>
  <c r="C96" i="5" s="1"/>
  <c r="G16" i="5"/>
  <c r="G96" i="5" s="1"/>
  <c r="L16" i="5"/>
  <c r="L96" i="5" s="1"/>
  <c r="N96" i="15" l="1"/>
  <c r="N16" i="5"/>
  <c r="O16" i="5" s="1"/>
  <c r="F6" i="3"/>
  <c r="O6" i="5"/>
  <c r="E6" i="3" l="1"/>
  <c r="G6" i="3"/>
  <c r="D6" i="3" l="1"/>
  <c r="B16" i="3" l="1"/>
  <c r="C5" i="3"/>
  <c r="B18" i="3" l="1"/>
  <c r="B17" i="3" s="1"/>
  <c r="B97" i="15"/>
  <c r="C4" i="15" s="1"/>
  <c r="C97" i="15" s="1"/>
  <c r="D4" i="15" s="1"/>
  <c r="D97" i="15" s="1"/>
  <c r="E4" i="15" s="1"/>
  <c r="E97" i="15" s="1"/>
  <c r="F4" i="15" s="1"/>
  <c r="F97" i="15" s="1"/>
  <c r="G4" i="15" s="1"/>
  <c r="G97" i="15" s="1"/>
  <c r="H4" i="15" s="1"/>
  <c r="H97" i="15" s="1"/>
  <c r="I4" i="15" s="1"/>
  <c r="I97" i="15" s="1"/>
  <c r="J4" i="15" s="1"/>
  <c r="J97" i="15" s="1"/>
  <c r="K4" i="15" s="1"/>
  <c r="K97" i="15" s="1"/>
  <c r="L4" i="15" s="1"/>
  <c r="L97" i="15" s="1"/>
  <c r="M4" i="15" s="1"/>
  <c r="M97" i="15" s="1"/>
  <c r="B4" i="5"/>
  <c r="C16" i="3"/>
  <c r="O33" i="5" l="1"/>
  <c r="C75" i="1"/>
  <c r="C133" i="1" s="1"/>
  <c r="C145" i="1" l="1"/>
  <c r="C154" i="1"/>
  <c r="C177" i="1"/>
  <c r="C170" i="1"/>
  <c r="C224" i="1"/>
  <c r="C212" i="1"/>
  <c r="C192" i="1"/>
  <c r="C159" i="1"/>
  <c r="C184" i="1"/>
  <c r="C176" i="1"/>
  <c r="C146" i="1"/>
  <c r="C203" i="1"/>
  <c r="C186" i="1"/>
  <c r="C157" i="1"/>
  <c r="C199" i="1"/>
  <c r="C178" i="1"/>
  <c r="C166" i="1"/>
  <c r="C171" i="1"/>
  <c r="C161" i="1"/>
  <c r="C204" i="1"/>
  <c r="C158" i="1"/>
  <c r="C223" i="1"/>
  <c r="C213" i="1"/>
  <c r="C179" i="1"/>
  <c r="C181" i="1"/>
  <c r="C226" i="1"/>
  <c r="C168" i="1"/>
  <c r="C229" i="1"/>
  <c r="C187" i="1"/>
  <c r="C194" i="1"/>
  <c r="C164" i="1"/>
  <c r="C207" i="1"/>
  <c r="C180" i="1"/>
  <c r="C201" i="1"/>
  <c r="C175" i="1"/>
  <c r="C195" i="1"/>
  <c r="C228" i="1"/>
  <c r="C215" i="1"/>
  <c r="C162" i="1"/>
  <c r="C196" i="1"/>
  <c r="C225" i="1"/>
  <c r="C219" i="1"/>
  <c r="C193" i="1"/>
  <c r="C156" i="1"/>
  <c r="C208" i="1"/>
  <c r="C173" i="1"/>
  <c r="C163" i="1"/>
  <c r="C216" i="1"/>
  <c r="C165" i="1"/>
  <c r="C210" i="1"/>
  <c r="C211" i="1"/>
  <c r="C218" i="1"/>
  <c r="C183" i="1"/>
  <c r="C220" i="1"/>
  <c r="C197" i="1"/>
  <c r="C167" i="1"/>
  <c r="C155" i="1"/>
  <c r="C174" i="1"/>
  <c r="C202" i="1"/>
  <c r="C185" i="1"/>
  <c r="C206" i="1"/>
  <c r="C214" i="1"/>
  <c r="C160" i="1"/>
  <c r="C209" i="1"/>
  <c r="C198" i="1"/>
  <c r="C191" i="1"/>
  <c r="C200" i="1"/>
  <c r="C182" i="1"/>
  <c r="C136" i="1"/>
  <c r="C6" i="3" s="1"/>
  <c r="C7" i="3" s="1"/>
  <c r="C217" i="1"/>
  <c r="C189" i="1"/>
  <c r="C188" i="1"/>
  <c r="C205" i="1"/>
  <c r="C227" i="1"/>
  <c r="C222" i="1"/>
  <c r="C169" i="1"/>
  <c r="C172" i="1"/>
  <c r="O37" i="5"/>
  <c r="D5" i="3" l="1"/>
  <c r="C18" i="3"/>
  <c r="C17" i="3" s="1"/>
  <c r="C232" i="1"/>
  <c r="C230" i="1"/>
  <c r="C233" i="1" s="1"/>
  <c r="D7" i="3" l="1"/>
  <c r="B4" i="16"/>
  <c r="D16" i="3"/>
  <c r="N99" i="16" l="1"/>
  <c r="B99" i="16"/>
  <c r="C4" i="16" s="1"/>
  <c r="C99" i="16" s="1"/>
  <c r="D4" i="16" s="1"/>
  <c r="D99" i="16" s="1"/>
  <c r="E4" i="16" s="1"/>
  <c r="E99" i="16" s="1"/>
  <c r="F4" i="16" s="1"/>
  <c r="F99" i="16" s="1"/>
  <c r="G4" i="16" s="1"/>
  <c r="G99" i="16" s="1"/>
  <c r="H4" i="16" s="1"/>
  <c r="H99" i="16" s="1"/>
  <c r="I4" i="16" s="1"/>
  <c r="I99" i="16" s="1"/>
  <c r="J4" i="16" s="1"/>
  <c r="J99" i="16" s="1"/>
  <c r="K4" i="16" s="1"/>
  <c r="K99" i="16" s="1"/>
  <c r="L4" i="16" s="1"/>
  <c r="L99" i="16" s="1"/>
  <c r="M4" i="16" s="1"/>
  <c r="M99" i="16" s="1"/>
  <c r="D18" i="3"/>
  <c r="D17" i="3" s="1"/>
  <c r="E5" i="3"/>
  <c r="E7" i="3" l="1"/>
  <c r="E16" i="3"/>
  <c r="F5" i="3" l="1"/>
  <c r="E18" i="3"/>
  <c r="E17" i="3" s="1"/>
  <c r="F16" i="3" l="1"/>
  <c r="F7" i="3"/>
  <c r="F18" i="3" l="1"/>
  <c r="F17" i="3" s="1"/>
  <c r="G5" i="3"/>
  <c r="G16" i="3" l="1"/>
  <c r="G7" i="3"/>
  <c r="G18" i="3" s="1"/>
  <c r="G17" i="3" l="1"/>
  <c r="N41" i="5"/>
  <c r="O41" i="5" s="1"/>
  <c r="B54" i="5"/>
  <c r="B95" i="5" l="1"/>
  <c r="B96" i="5" s="1"/>
  <c r="B99" i="5" l="1"/>
  <c r="C4" i="5" s="1"/>
  <c r="C99" i="5" s="1"/>
  <c r="D4" i="5" s="1"/>
  <c r="D54" i="5"/>
  <c r="D95" i="5" s="1"/>
  <c r="N47" i="5"/>
  <c r="O47" i="5" s="1"/>
  <c r="N95" i="5" l="1"/>
  <c r="O95" i="5" s="1"/>
  <c r="D96" i="5"/>
  <c r="N54" i="5"/>
  <c r="O54" i="5" s="1"/>
  <c r="D99" i="5" l="1"/>
  <c r="E4" i="5" s="1"/>
  <c r="E99" i="5" s="1"/>
  <c r="F4" i="5" s="1"/>
  <c r="F99" i="5" s="1"/>
  <c r="G4" i="5" s="1"/>
  <c r="G99" i="5" s="1"/>
  <c r="H4" i="5" s="1"/>
  <c r="H99" i="5" s="1"/>
  <c r="I4" i="5" s="1"/>
  <c r="I99" i="5" s="1"/>
  <c r="J4" i="5" s="1"/>
  <c r="J99" i="5" s="1"/>
  <c r="K4" i="5" s="1"/>
  <c r="K99" i="5" s="1"/>
  <c r="L4" i="5" s="1"/>
  <c r="L99" i="5" s="1"/>
  <c r="M4" i="5" s="1"/>
  <c r="M99" i="5" s="1"/>
  <c r="N96" i="5"/>
  <c r="N99" i="5" s="1"/>
</calcChain>
</file>

<file path=xl/sharedStrings.xml><?xml version="1.0" encoding="utf-8"?>
<sst xmlns="http://schemas.openxmlformats.org/spreadsheetml/2006/main" count="518" uniqueCount="390">
  <si>
    <t>Planning Year</t>
  </si>
  <si>
    <t>Notes</t>
  </si>
  <si>
    <t>Year 1</t>
  </si>
  <si>
    <t>Year 2</t>
  </si>
  <si>
    <t>Year 3</t>
  </si>
  <si>
    <t>Year 4</t>
  </si>
  <si>
    <t>Year 5</t>
  </si>
  <si>
    <t>Assumptions</t>
  </si>
  <si>
    <t>Number of Students in Kindergarten</t>
  </si>
  <si>
    <t>Number of Students in Grades 6-8</t>
  </si>
  <si>
    <t>Number of Students in Grades 9-12</t>
  </si>
  <si>
    <t>Square Footage of Facility</t>
  </si>
  <si>
    <t>Number of Administrators</t>
  </si>
  <si>
    <t>Number of Teachers</t>
  </si>
  <si>
    <t>Number of Other Instructional Staff</t>
  </si>
  <si>
    <t>Number of Clerical Staff</t>
  </si>
  <si>
    <t>Number of Maintenance Staff</t>
  </si>
  <si>
    <t>Number of Food Service Staff</t>
  </si>
  <si>
    <t xml:space="preserve">Number of Full-Time Employees </t>
  </si>
  <si>
    <t>Student-Teacher Ratio</t>
  </si>
  <si>
    <t>Average Teacher Salary</t>
  </si>
  <si>
    <t>Number of Students in Grades 1-3</t>
  </si>
  <si>
    <t>Number of Students in Grades 4-5</t>
  </si>
  <si>
    <t>Revenues</t>
  </si>
  <si>
    <t>Total Revenues</t>
  </si>
  <si>
    <t>Expenses</t>
  </si>
  <si>
    <t>Personnel</t>
  </si>
  <si>
    <t>Principal</t>
  </si>
  <si>
    <t>Teachers</t>
  </si>
  <si>
    <t>Athletics/Extracurricular Coaches</t>
  </si>
  <si>
    <t>Guidance Counselors</t>
  </si>
  <si>
    <t>Arts/PE/Connections Teachers</t>
  </si>
  <si>
    <t xml:space="preserve">Special Education Personnel </t>
  </si>
  <si>
    <t>Office Manager</t>
  </si>
  <si>
    <t>Office Assistant</t>
  </si>
  <si>
    <t>Business Manager</t>
  </si>
  <si>
    <t>Other Administrators (Asst. Principal, Curriculum Director…)</t>
  </si>
  <si>
    <t>Maintenance Personnel</t>
  </si>
  <si>
    <t>Food Service Personnel</t>
  </si>
  <si>
    <t>Health Benefits</t>
  </si>
  <si>
    <t>Other Payroll Expenses/Taxes</t>
  </si>
  <si>
    <t>Total Personnel Expenses</t>
  </si>
  <si>
    <t xml:space="preserve">Instructional </t>
  </si>
  <si>
    <t>Textbooks</t>
  </si>
  <si>
    <t>Computers</t>
  </si>
  <si>
    <t>Software</t>
  </si>
  <si>
    <t>Classroom Supplies</t>
  </si>
  <si>
    <t>Field Trips</t>
  </si>
  <si>
    <t>Instructional Equipment</t>
  </si>
  <si>
    <t>Library and Media Center</t>
  </si>
  <si>
    <t>Student Assessment</t>
  </si>
  <si>
    <t>Classroom Furniture</t>
  </si>
  <si>
    <t>PE Equipment</t>
  </si>
  <si>
    <t>Art Supplies</t>
  </si>
  <si>
    <t>Total Instructional Expenses</t>
  </si>
  <si>
    <t>Student Uniforms</t>
  </si>
  <si>
    <t>Athletic Program</t>
  </si>
  <si>
    <t>Office Supplies</t>
  </si>
  <si>
    <t>Office Furniture</t>
  </si>
  <si>
    <t>Office Computers and Software</t>
  </si>
  <si>
    <t>Printing and Copying Services</t>
  </si>
  <si>
    <t>Postage and Shipping</t>
  </si>
  <si>
    <t>Bookkeeping</t>
  </si>
  <si>
    <t>Audit Fees</t>
  </si>
  <si>
    <t>Payroll Services</t>
  </si>
  <si>
    <t>Banking Fees</t>
  </si>
  <si>
    <t>Legal Fees</t>
  </si>
  <si>
    <t>Liability and Property Insurance</t>
  </si>
  <si>
    <t>Staff Development</t>
  </si>
  <si>
    <t>Special Education Contracted Services</t>
  </si>
  <si>
    <t>Staff Recruitment</t>
  </si>
  <si>
    <t>Student Recruitment</t>
  </si>
  <si>
    <t>Technology Support</t>
  </si>
  <si>
    <t>Phone/Internet Service</t>
  </si>
  <si>
    <t>Food Service</t>
  </si>
  <si>
    <t>Health Services and Supplies</t>
  </si>
  <si>
    <t>Pest Control</t>
  </si>
  <si>
    <t>Janitorial Supplies and Services</t>
  </si>
  <si>
    <t>Waste Disposal</t>
  </si>
  <si>
    <t>Marketing</t>
  </si>
  <si>
    <t>Total Services and Supplies Expenses</t>
  </si>
  <si>
    <t>Facilities</t>
  </si>
  <si>
    <t>Rent/Lease/Mortgage</t>
  </si>
  <si>
    <t>Grounds Maintenance</t>
  </si>
  <si>
    <t>Facility Maintenance and Repair</t>
  </si>
  <si>
    <t>Utilities</t>
  </si>
  <si>
    <t>Fire and Occupational Safety and Compliance</t>
  </si>
  <si>
    <t>Total Facilities Expenses</t>
  </si>
  <si>
    <t>Surplus (Deficit)</t>
  </si>
  <si>
    <t>Total Expenses</t>
  </si>
  <si>
    <t>CASH BALANCES</t>
  </si>
  <si>
    <t>May</t>
  </si>
  <si>
    <t>Total</t>
  </si>
  <si>
    <t>CASH FLOW PROJECTION YEAR 1</t>
  </si>
  <si>
    <t>CASH FLOW PROJECTION YEAR 2</t>
  </si>
  <si>
    <t>CHARTER SCHOOL PETITION BUDGET TEMPLATE DIRECTIONS</t>
  </si>
  <si>
    <t>Overview</t>
  </si>
  <si>
    <t>2. Review the Cash Balances tab.</t>
  </si>
  <si>
    <t>3. Complete the Cash Flow Projection tabs.</t>
  </si>
  <si>
    <t>·</t>
  </si>
  <si>
    <t>o</t>
  </si>
  <si>
    <t xml:space="preserve">All rows must be completed manually.  </t>
  </si>
  <si>
    <t>Number of Students in Kindergarten (Virtual)</t>
  </si>
  <si>
    <t>Number of Students in Grades 1-3 (Virtual)</t>
  </si>
  <si>
    <t>Number of Students in Grades 4-5 (Virtual)</t>
  </si>
  <si>
    <t>Number of Students in Grades 6-8 (Virtual)</t>
  </si>
  <si>
    <t>Number of Students in Grades 9-12 (Virtual)</t>
  </si>
  <si>
    <t>Example 2 – A 6-12 charter school plans to utilize both brick-and-mortar and virtual settings with half of its students in each setting and 80 total students per grade in its first year. The school would enter “120” in Column D, Row 13 for students in grades 6-8 in brick-and-mortar setting, “160” in Column D, Row 14 for students in grades 9-12 in a brick-and-mortar setting, “120” in Column D, Row 20 for students in grades 6-8 in a virtual setting, and “160” in Column D, Row 21 for students in grades 9-12 in a virtual setting.  Rows 10-12 and 17-19 would be left blank.</t>
  </si>
  <si>
    <t xml:space="preserve">Services and Supplies </t>
  </si>
  <si>
    <t>Students in a Virtual Setting-total</t>
  </si>
  <si>
    <t>Students in a Brick-and-Mortar Setting-total</t>
  </si>
  <si>
    <t>Transportation</t>
  </si>
  <si>
    <t>FY2023</t>
  </si>
  <si>
    <t>FY2024</t>
  </si>
  <si>
    <t>FY2025</t>
  </si>
  <si>
    <t>Grants</t>
  </si>
  <si>
    <t>FY2026</t>
  </si>
  <si>
    <t>FY2027</t>
  </si>
  <si>
    <t>Donations</t>
  </si>
  <si>
    <t>Endorsement/Incentive Increases</t>
  </si>
  <si>
    <t>Accreditation Fees</t>
  </si>
  <si>
    <t>Increase(Decrease) to Operating Cash Balance</t>
  </si>
  <si>
    <t>Ending Operating Cash Balance</t>
  </si>
  <si>
    <t>Beginning Operating Cash Balance:</t>
  </si>
  <si>
    <t>Beginning Operating Cash Balance</t>
  </si>
  <si>
    <t>Beginning Contingency Fund Cash Balance</t>
  </si>
  <si>
    <t>Ending Contingency Fund Cash Balance</t>
  </si>
  <si>
    <t>Beginning Total Cash Balance</t>
  </si>
  <si>
    <t>Ending Total Cash Balance</t>
  </si>
  <si>
    <t>Components of Revenue Projection Formulas/Calculations</t>
  </si>
  <si>
    <t>Kingergarten PGM</t>
  </si>
  <si>
    <t>Primary Grades (1-3) PGM</t>
  </si>
  <si>
    <t>Upper Elementary Grades (4-5) PGM</t>
  </si>
  <si>
    <t>Middle School PGM (6-8)</t>
  </si>
  <si>
    <t>Base -- Grades 9-12</t>
  </si>
  <si>
    <t xml:space="preserve">Source Info: </t>
  </si>
  <si>
    <t>Report</t>
  </si>
  <si>
    <t>Category:</t>
  </si>
  <si>
    <t>QBE Reports</t>
  </si>
  <si>
    <t xml:space="preserve">Name:  </t>
  </si>
  <si>
    <t>Weights for FTE Funding Formula</t>
  </si>
  <si>
    <t>FY 2022</t>
  </si>
  <si>
    <t>FY 2022 Initial</t>
  </si>
  <si>
    <t>GADOE site link:</t>
  </si>
  <si>
    <t>Fiscal Year:</t>
  </si>
  <si>
    <t>Allotment Term:</t>
  </si>
  <si>
    <t>System:</t>
  </si>
  <si>
    <t>State</t>
  </si>
  <si>
    <t>https://financeweb.doe.k12.ga.us/QBEPublicWeb/ReportsMenu.aspx</t>
  </si>
  <si>
    <t>Weight/FTE</t>
  </si>
  <si>
    <t>Austerity % applied to Total State Funds</t>
  </si>
  <si>
    <t>Source/Additional Info</t>
  </si>
  <si>
    <t xml:space="preserve">  945/mo x 12 mo's</t>
  </si>
  <si>
    <t>Annual Health Insurance Funding/Certified Employee *</t>
  </si>
  <si>
    <t>*  Total T&amp;E (that includes the Health Insurance component) and the Teacher Retirement Contributions Funding</t>
  </si>
  <si>
    <t xml:space="preserve">are embedded within the Salary column of an Allotment Sheet (or Earnings Sheet).  </t>
  </si>
  <si>
    <t xml:space="preserve">  Get % from Jon</t>
  </si>
  <si>
    <t>Training and Experience (T&amp;E)/Certified Employee*  (Avg recd for all cert'd st ees)</t>
  </si>
  <si>
    <t>spreadsheet provided by Jon</t>
  </si>
  <si>
    <t>SCSC Supplement/FTE (Avg for B&amp;M schools for FY 22)</t>
  </si>
  <si>
    <t>SCSC Supplement/FTE (Avg for Virtual schools for FY 22)</t>
  </si>
  <si>
    <t>QBE State Revenue Subtotal</t>
  </si>
  <si>
    <t>Total State Funding</t>
  </si>
  <si>
    <t>State Funding/Student</t>
  </si>
  <si>
    <t>Subtotal</t>
  </si>
  <si>
    <t>Yes</t>
  </si>
  <si>
    <t>No</t>
  </si>
  <si>
    <t>Number of Students (B&amp;M + Virtual)</t>
  </si>
  <si>
    <t>Total Personnel Expense</t>
  </si>
  <si>
    <t>Number of Certified Employees (eligible for T&amp;E and HI funding)</t>
  </si>
  <si>
    <t>Local Five Mills Share/FTE</t>
  </si>
  <si>
    <t>Jul</t>
  </si>
  <si>
    <t>Aug</t>
  </si>
  <si>
    <t>Sep</t>
  </si>
  <si>
    <t>Oct</t>
  </si>
  <si>
    <t>Nov</t>
  </si>
  <si>
    <t>Dec</t>
  </si>
  <si>
    <t>Jan</t>
  </si>
  <si>
    <t>Feb</t>
  </si>
  <si>
    <t>Mar</t>
  </si>
  <si>
    <t>Apr</t>
  </si>
  <si>
    <t>Jun</t>
  </si>
  <si>
    <t>Meal Fees (Recd fr Students)</t>
  </si>
  <si>
    <t>Header Row</t>
  </si>
  <si>
    <t xml:space="preserve">Enter your school name into cell A1.  Your school name will copy over into </t>
  </si>
  <si>
    <t xml:space="preserve">the corresponding cells of the other tabs of the file.  </t>
  </si>
  <si>
    <t xml:space="preserve">65% of the following lines above (The information below is helpful for comparison of your 100% budget to your 65% budget.  </t>
  </si>
  <si>
    <t xml:space="preserve">Example 1 – A K-5 brick-and-mortar school that plans to enroll 50 students in each grade its first year.  The school would enter “50” in cell C10 for students in Kindergarten, “150” in cell C11 for students in grades 1-3, and “100” in cell C12 for students in grades 4-5.  Nothing would be entered into Cells C13, C14, C16, C17, C18, C19, C20.  </t>
  </si>
  <si>
    <t xml:space="preserve">This template requires the identification of the number of students by certain grade-bands and setting.  The number of students entered must correspond to the school’s expected enrollment in the Executive Summary in its petition application.  For Students in a Brick-and-Mortar Setting, Rows 10-14 must be used.  For Students in a Virtual Setting, Rows 16-20 must be used.  A school that uses both a brick-and-mortar and virtual settings should use the appropriate combination of spaces in Rows 10-20.  Spaces may be left blank for schools that are not expected to enroll certain grades or certain settings. </t>
  </si>
  <si>
    <t>Complete all inputtable Assumptions rows (Rows 5-28).  The total students rows for B&amp;M and Virtual are calculations and thus require no input.  The description for these total rows are in bold.</t>
  </si>
  <si>
    <t>1. Complete the Budget tab.</t>
  </si>
  <si>
    <t xml:space="preserve">Certain cells in the planning year are disabled as they would not be applicable to a school not in operation (such as number of students and teachers).  However, we realize that you could have some administrative staff and possibly maintenance staff in the planning year.  Also, the planning year is set up to allow input of expenses and funding from sources outside of the state.  </t>
  </si>
  <si>
    <t>Equal to Corresponding Line in Budget tab?</t>
  </si>
  <si>
    <t xml:space="preserve">Be sure to input the student numbers into the correct section(s)--whether B&amp;M or Virtual.  </t>
  </si>
  <si>
    <t>TOTAL EXPENSES DISBURSEMENTS</t>
  </si>
  <si>
    <t>TOTAL REVENUE RECEIPTS</t>
  </si>
  <si>
    <t>Each Expense line as a percentage of Total Expenses for that FY</t>
  </si>
  <si>
    <t>Check (sum of subtot lines = 100%)</t>
  </si>
  <si>
    <t>State Funding</t>
  </si>
  <si>
    <t>If no expense for a given item is expected, the associated cells may be left blank.</t>
  </si>
  <si>
    <t>Other Funding</t>
  </si>
  <si>
    <t>Assumptions Rows</t>
  </si>
  <si>
    <t>Revenues Rows</t>
  </si>
  <si>
    <t>Expenses Rows</t>
  </si>
  <si>
    <t xml:space="preserve">Utilize the available additional description lines as necessary.  And provide information in the corresponding Notes column.  </t>
  </si>
  <si>
    <t>The Meal Fees line should be used for revenue generated through the school meals program, if any.</t>
  </si>
  <si>
    <t>Retirement Benefits - Membership in TRS is required for teachers.  (FY23 rate=19.98%, recent yrs have been in this range)</t>
  </si>
  <si>
    <t xml:space="preserve">Membership in TRS will be required for your charter school teachers.  Thus, you need to incorporate this expense into your budget in the Retirement Expense line.  The FY23 contribution rate is 19.98%.  Recent years' rates have been in this range.  </t>
  </si>
  <si>
    <t>When appropriate, utilize the Notes column to explain each expense.  Generally more detail is better than less detail.   Expenses that are not explained in the Notes Column will be compared to market rates.</t>
  </si>
  <si>
    <t>FICA (OASDI 6.2%, HI 1.45%)</t>
  </si>
  <si>
    <t>EMO (Educational Mgt Organization)/CMO (Charter Mgt. Organization) Fees</t>
  </si>
  <si>
    <t>Enter the amount only for the individual year.  Do not utilize a rolling balance.</t>
  </si>
  <si>
    <t xml:space="preserve">By law, no school district, including state charter schools, may end a year in a deficit.  Contingency funds may be utilized to offset annual deficits, but the use of contingency funds should be minimized.  </t>
  </si>
  <si>
    <t>The Cash Balances tab will automatically calculate the school’s cash balances utilizing data inputted into the Budget tab.</t>
  </si>
  <si>
    <t xml:space="preserve">The ending cash balance for the preceding year will carry forward to the beginning cash balance of the next year.  </t>
  </si>
  <si>
    <t xml:space="preserve">Operating, contingency and total cash balances are presented.  </t>
  </si>
  <si>
    <r>
      <t xml:space="preserve">The ending cash balance  </t>
    </r>
    <r>
      <rPr>
        <u/>
        <sz val="11"/>
        <color theme="1"/>
        <rFont val="Calibri"/>
        <family val="2"/>
        <scheme val="minor"/>
      </rPr>
      <t>MUST</t>
    </r>
    <r>
      <rPr>
        <sz val="11"/>
        <color theme="1"/>
        <rFont val="Calibri"/>
        <family val="2"/>
        <scheme val="minor"/>
      </rPr>
      <t xml:space="preserve"> be positive for each year.  The goal is to have a positive operating cash balance for each year.  [See the last bullet under the Surplus (Deficit) section above.]</t>
    </r>
  </si>
  <si>
    <t xml:space="preserve">You will need to allocate your expenses across the months based on when the expense will be paid out.  Don't allocate all expenses evenly across the 12 months.  Consider when items such as insurances, staff development trainings, etc. will be paid.  </t>
  </si>
  <si>
    <t>100% Budget</t>
  </si>
  <si>
    <r>
      <t xml:space="preserve">State Charter Schools Commission of Georgia – </t>
    </r>
    <r>
      <rPr>
        <b/>
        <sz val="14"/>
        <color rgb="FFFF0000"/>
        <rFont val="Calibri"/>
        <family val="2"/>
        <scheme val="minor"/>
      </rPr>
      <t>2022</t>
    </r>
    <r>
      <rPr>
        <b/>
        <sz val="12"/>
        <color theme="1"/>
        <rFont val="Calibri"/>
        <family val="2"/>
        <scheme val="minor"/>
      </rPr>
      <t xml:space="preserve"> Petition Cycle</t>
    </r>
  </si>
  <si>
    <t>EXPENSES</t>
  </si>
  <si>
    <t>REVENUES</t>
  </si>
  <si>
    <t>Increase (Decrease)</t>
  </si>
  <si>
    <t xml:space="preserve">Complete all 3 Cash Flow Projection tabs--the Planning Yr, Yr 1 and Yr 2.  </t>
  </si>
  <si>
    <t xml:space="preserve">Ending Total Cash Balance should be positive for each year.  </t>
  </si>
  <si>
    <t xml:space="preserve">The goal is for the Ending Operating Cash Balance to be positive each year.  </t>
  </si>
  <si>
    <t xml:space="preserve">Answer Yes or No from the dropdown box as to whether your school anticipates meeting the requirements for the State Nutrition Grant and the State Transportation Grant.  Your answers in this section will populate the funding for these 2 categorical grants in the Revenue section.  </t>
  </si>
  <si>
    <t>CASH FLOW PROJECTION PLANNING YEAR</t>
  </si>
  <si>
    <t xml:space="preserve">The beginning Contingency Fund Cash Balance is set to zero as you would not have a Contingency Fund during the Planning Yr.  All funds on hand initially would be considered Operating Cash funds.  </t>
  </si>
  <si>
    <t>Increase (Decrease) from Budget tab</t>
  </si>
  <si>
    <t>Disclaimer</t>
  </si>
  <si>
    <t xml:space="preserve">The information presented in this Budget Template, including calculated revenue, is intended for educational purposes only. There is no guarantee or assurance that a school, if approved, will receive the calculated level of revenue. Petitioner accepts the risk that revenues will vary by school.  Additionally, the SCSC cannot guarantee financial success based on any estimates or plans presented within the Budget Template. If approved, petitioners will need to base all budgetary decisions, including estimated revenue and expenditures, on their own due diligence. </t>
  </si>
  <si>
    <t>Different Years data</t>
  </si>
  <si>
    <t>FY25</t>
  </si>
  <si>
    <t>FY26</t>
  </si>
  <si>
    <t>FY27</t>
  </si>
  <si>
    <t>FY28</t>
  </si>
  <si>
    <t>Data provided by Morgan</t>
  </si>
  <si>
    <t>She said that the austerity is often</t>
  </si>
  <si>
    <t>0% unless the state is having difficulty.</t>
  </si>
  <si>
    <t>Avg per Certified EE calc'd from FY 22 State Allotment sheet</t>
  </si>
  <si>
    <t xml:space="preserve"> Avg per FTE for state calc'd fr FY 22 State Allotment sheet</t>
  </si>
  <si>
    <r>
      <t xml:space="preserve">Only revenue that can be adequately assured should be included.  </t>
    </r>
    <r>
      <rPr>
        <b/>
        <sz val="11"/>
        <color theme="1"/>
        <rFont val="Calibri"/>
        <family val="2"/>
        <scheme val="minor"/>
      </rPr>
      <t>It is not necessary for revenue to be received by the school to be included in the template; however, the school MUST submit written evidence to support that the revenue will be provided upon receipt of a charter contract.</t>
    </r>
  </si>
  <si>
    <r>
      <t xml:space="preserve">Competitive grants, including the Federal Implementation Grant, should not be included </t>
    </r>
    <r>
      <rPr>
        <u/>
        <sz val="11"/>
        <color theme="1"/>
        <rFont val="Calibri"/>
        <family val="2"/>
        <scheme val="minor"/>
      </rPr>
      <t>UNLESS</t>
    </r>
    <r>
      <rPr>
        <sz val="11"/>
        <color theme="1"/>
        <rFont val="Calibri"/>
        <family val="2"/>
        <scheme val="minor"/>
      </rPr>
      <t xml:space="preserve"> they have already been awarded to the school.  Support must be provided with this application/budget to substantiate any grant revenue included in your budget.  </t>
    </r>
  </si>
  <si>
    <t>Will you offer a Transportation program that meets State Grant Guidelines?</t>
  </si>
  <si>
    <t>Will you offer a Nutritional program that meets State Grant Guidelines?</t>
  </si>
  <si>
    <t>(Decreases) from Transfers to Oper Acct</t>
  </si>
  <si>
    <t>Increases from Additions on Budget tab</t>
  </si>
  <si>
    <t>Answers</t>
  </si>
  <si>
    <t>Restrictions</t>
  </si>
  <si>
    <t xml:space="preserve">The positive whole dollar amount cell restrictions for the Cash Balances tab and the Cash Flow Projection tabs are set for a maximum of 300,000,000.  </t>
  </si>
  <si>
    <t>Validation Data:</t>
  </si>
  <si>
    <t xml:space="preserve">The ending balance for each cash account are set up to highlight in red if your balance is less than zero.  This will happen on the Cash Flow Projection tabs, too, so you should be able to spot any problems in your cash flow projections.  </t>
  </si>
  <si>
    <t>Federal Funds</t>
  </si>
  <si>
    <t xml:space="preserve">No other federal funds, for which you don't have an award letter, should be included in your projected revenue.  </t>
  </si>
  <si>
    <t>Additions to a Contingency Fund (Enter positive amts.)</t>
  </si>
  <si>
    <t>Transfers out of the Contingency Fund (Enter positive amts.)</t>
  </si>
  <si>
    <t>Contingency Fund (Additions to the fund and transfers out)</t>
  </si>
  <si>
    <t xml:space="preserve">You must enter a POSITIVE whole dollar amount.  The schedule will deduct or add the line to come up with the Surplus (Deficit) line below.  </t>
  </si>
  <si>
    <t xml:space="preserve">Input a positive number in these lines to reflect a reserve of funds that the school anticipates to set aside--funds the school will not need to pull from over the charter term (years 1-5).  Or a transfer out of the contingency fund to be used for operational needs.  </t>
  </si>
  <si>
    <r>
      <t xml:space="preserve">The Cash Flow Projection tabs will provide petitioners and reviewers a picture of monthly cash inflows and outflows. </t>
    </r>
    <r>
      <rPr>
        <b/>
        <u/>
        <sz val="11"/>
        <color theme="1"/>
        <rFont val="Calibri"/>
        <family val="2"/>
        <scheme val="minor"/>
      </rPr>
      <t xml:space="preserve"> </t>
    </r>
  </si>
  <si>
    <t xml:space="preserve">The spreadsheet will calculate the surplus or (deficit) amount.  This amount represents the revenues less expenses, less any funds set aside in a contingency fund, plus any funds pulled from the contingency fund.  These net funds carry over to the Operating Cash Balances section of the Cash Balances tab.  </t>
  </si>
  <si>
    <t>Transfers Out of the Contingency Fund (Enter positive amts.)</t>
  </si>
  <si>
    <t xml:space="preserve">You will need to input the monthly spread of any transfers from the Contingency Fund.  Enter positive whole dollar amounts in the cells.  The total of this row should match the amount you entered for this line on the Budget tab.  </t>
  </si>
  <si>
    <t xml:space="preserve">There is a check column on the right of the Cash Flow Projection tabs.  This allows you to see if your inputted monthly spread equals the annual revenue or expense budget and the transfers from the contingency fund you entered into the Budget tab.  The check function should allow for a rounding variance of + or - 1.  </t>
  </si>
  <si>
    <t>65% Budget</t>
  </si>
  <si>
    <r>
      <rPr>
        <u/>
        <sz val="11"/>
        <color theme="1"/>
        <rFont val="Calibri"/>
        <family val="2"/>
        <scheme val="minor"/>
      </rPr>
      <t xml:space="preserve">Petitioners must use </t>
    </r>
    <r>
      <rPr>
        <i/>
        <u/>
        <sz val="11"/>
        <color theme="1"/>
        <rFont val="Calibri"/>
        <family val="2"/>
        <scheme val="minor"/>
      </rPr>
      <t>this</t>
    </r>
    <r>
      <rPr>
        <u/>
        <sz val="11"/>
        <color theme="1"/>
        <rFont val="Calibri"/>
        <family val="2"/>
        <scheme val="minor"/>
      </rPr>
      <t xml:space="preserve"> template.  Do not attempt to reproduce this template and submit a different version</t>
    </r>
    <r>
      <rPr>
        <sz val="11"/>
        <color theme="1"/>
        <rFont val="Calibri"/>
        <family val="2"/>
        <scheme val="minor"/>
      </rPr>
      <t xml:space="preserve">.  This template is designed to assist charter school petitioners in presenting a financial plan for the proposed school’s charter term.  The template relies heavily on embedded calculations based upon the data the user inputs on the Budget tab.  Accordingly, it is crucial to ensure that the Budget tab is completed accurately.  The cells containing percentages and totals will calculate automatically and cannot be edited.  </t>
    </r>
  </si>
  <si>
    <t xml:space="preserve">For a cleaner look the sheets are set up to reflect whole dollars.  The Cash Flow spreadsheet verifies certain cells to ensure they match the totals in the Budget spreadsheet.  The formulas should account for any rounding variances.  The Notes column of the Budget tab are set to expand to allow sufficient space for your input.  </t>
  </si>
  <si>
    <t xml:space="preserve">Change the Fiscal Years in Row 1 to reflect the timeframe for which the school plans to operate.  The template is currently set to utilize Fiscal Year 2023 as the Planning Year.  If your school will have two planning years, begin your Budget tab data with Fiscal Year 2024--the last planning year.  Change the remaining cells to display Fiscal Years 2025 through 2029 in the Budget tab header.  The fiscal year updates will carry over to the other tabs in the file.       </t>
  </si>
  <si>
    <t xml:space="preserve">Choose from the dropdown menu in A2 whether you are completing your 100% budget or your 65% budget.  The latter one to represent a budget for 65% of your enrollment projection.  You need to submit a 100% budget AND a 65% budget.  </t>
  </si>
  <si>
    <t xml:space="preserve">Please note that you are to input the Number of Full-Time Employees.  If you have Part-Time Employees, do not sum your employee rows above.  Please note the separate row for the Number of Certified Employees Eligible for T&amp;E (Training &amp; Experience) and HI (Health Insurance) Funding.  The numbers in the two rows could be different.  </t>
  </si>
  <si>
    <t>Please provide comprehensive clarifications in the Notes column N.  Clarifications could include information that a particular position is part-time (on the Number of Administrators line) or that only grade 4 is being planned for Yr 1 (on the Number of Students in Grade 4-5 line).</t>
  </si>
  <si>
    <r>
      <t xml:space="preserve">The various components of state funding have been broken out on individual lines in the spreadsheet.  </t>
    </r>
    <r>
      <rPr>
        <b/>
        <sz val="11"/>
        <color theme="1"/>
        <rFont val="Calibri"/>
        <family val="2"/>
        <scheme val="minor"/>
      </rPr>
      <t>This spreadsheet DOES NOT mirror the actual calculations that will be used to provide your state funding if approved.  Rather, the spreadsheet is designed to provide a reasonable yet conservative estimate of your potential funding receipts.</t>
    </r>
    <r>
      <rPr>
        <sz val="11"/>
        <color theme="1"/>
        <rFont val="Calibri"/>
        <family val="2"/>
        <scheme val="minor"/>
      </rPr>
      <t xml:space="preserve">  </t>
    </r>
    <r>
      <rPr>
        <b/>
        <sz val="11"/>
        <color theme="1"/>
        <rFont val="Calibri"/>
        <family val="2"/>
        <scheme val="minor"/>
      </rPr>
      <t>All lines calculate automatically based on your student counts , certified employee counts, and whether you indicated a transportational or nutrional program that would meet the standards for the state grants.</t>
    </r>
    <r>
      <rPr>
        <sz val="11"/>
        <color theme="1"/>
        <rFont val="Calibri"/>
        <family val="2"/>
        <scheme val="minor"/>
      </rPr>
      <t xml:space="preserve">  The Nursing Services Grant (for the state mandated school nurse program) is given to all schools beginning with their 2nd year of operations. </t>
    </r>
  </si>
  <si>
    <t xml:space="preserve">For the QBE State Revenue section, the spreadsheet is using the FY 22 statewide weighted funding/FTE for each grade band and applying it to your entered student counts by grade band.  No additional weight has been added into these conservative calculations for the impact of Exceptional Education classes.  </t>
  </si>
  <si>
    <t xml:space="preserve">This spreadsheet will take your Number of Certified Employees (eligible for T&amp;E and HI funding) and apply an estimate of the FY22 statewide funding/certified employee of 20,542 to determine the T&amp;E component.    </t>
  </si>
  <si>
    <t xml:space="preserve">The SCSC Supplement Funding lines in this spreadsheet do not consider the school's geographic location or attendance zone.  The spreadsheet is applying an estimated FY 22 average funding per B&amp;M (Brick-and-Mortar) School and an estimated FY 22 average funding per Virtual School.  Therefore, the impact of your locating in a geographical location that would receive a higher Capital Funding amount isn't factored into this projection.  As a reminder the SCSC Supplement is considered to include the Categorical Grants, Base Supplement, and Capital Funding reduced by the SCSC's administrative withhold or fee.  </t>
  </si>
  <si>
    <t>The SCSC Administrative Withhold is being calculated as 2% of the calculated state revenue subtotal.  Please note that the Commission may withhold up to 3% of state charter school state revenue, but the Commission is committed to ensuring as much funding flows to the classroom as possible.  The SCSC currently withholds less than 2% of state revenue from state charter schools, but that amount may vary in future years. Please note that only 1% is withheld in year 1.</t>
  </si>
  <si>
    <t xml:space="preserve">Utilize the identified expense items in each expense category as needed.  There are blank rows in each section where for additional items as needed.  You may also rename a line that isn't needed to an appropriate line needed within that category.  These line descriptions will carry over to the Cash Flow Projection tabs.  </t>
  </si>
  <si>
    <t xml:space="preserve">These Expense Lines are presented as a percentage of Total Expenses in Rows 151 - 230  at the bottom of the Budget tab.  </t>
  </si>
  <si>
    <r>
      <t xml:space="preserve">Rows 142 - 146 provide a calculation of 65% for key components of your 100% budget.  This may assist you in comparing your 100% budget to your 65% budget.  </t>
    </r>
    <r>
      <rPr>
        <sz val="11"/>
        <color rgb="FFFF0000"/>
        <rFont val="Calibri"/>
        <family val="2"/>
        <scheme val="minor"/>
      </rPr>
      <t>Disregard these rows when completing the 65%budget.</t>
    </r>
  </si>
  <si>
    <t xml:space="preserve">If you began the planning year with a cash balance, input that amount into the 1st cell in the Operating Cash schedule on the Cash Balances tab. Those funds will be included in your cash activity.  </t>
  </si>
  <si>
    <t xml:space="preserve">If you began the planning year with a cash balance, input that amount into the 1st cell in the Operating Cash schedule on the Cash Balances tab.  Those funds will be included in your cash activity.  </t>
  </si>
  <si>
    <t xml:space="preserve">State revenue funding will populate across the months.  You will need to input any other revenue sources (Meal Fees, Donations, Grants) in the appropriate months to reflect when funds will be received.  </t>
  </si>
  <si>
    <t>Additional Information on Revenue Calculations</t>
  </si>
  <si>
    <t>Type of Funding</t>
  </si>
  <si>
    <t xml:space="preserve"> Calculation</t>
  </si>
  <si>
    <t>QBE</t>
  </si>
  <si>
    <t>Avg funding/FTE x Number of Students</t>
  </si>
  <si>
    <t>excludes T&amp;E and HI</t>
  </si>
  <si>
    <t>Funding for QBE</t>
  </si>
  <si>
    <t>T&amp;E</t>
  </si>
  <si>
    <t>FY22 initial allotment sheet T&amp;E state funding per Certified Employee x Number of Certified Employees</t>
  </si>
  <si>
    <t>HI</t>
  </si>
  <si>
    <t>LFMS</t>
  </si>
  <si>
    <t>FY22 initial allotment sheet state avg of -1263/FTE x Number of Students</t>
  </si>
  <si>
    <t xml:space="preserve">Local Five Mills Share (LFMS) </t>
  </si>
  <si>
    <t>Austerity</t>
  </si>
  <si>
    <t>Rates applied to QBE State Rev Subtotal</t>
  </si>
  <si>
    <t>FY24: 4.23%, FY25: 3%, FY26: 2%, FY27: 1%, FY28: 0%</t>
  </si>
  <si>
    <t>Nursing</t>
  </si>
  <si>
    <t>$20,000/year</t>
  </si>
  <si>
    <t>Categorical Grant - Begins in Year 2</t>
  </si>
  <si>
    <t xml:space="preserve">Nursing Services Grant </t>
  </si>
  <si>
    <t>Nutrition</t>
  </si>
  <si>
    <t>$14.00/student</t>
  </si>
  <si>
    <t>Categorical Grant - Begins in Year 1</t>
  </si>
  <si>
    <t xml:space="preserve">State Nutritional Grant </t>
  </si>
  <si>
    <t>$77.00/student</t>
  </si>
  <si>
    <t xml:space="preserve">State Transportation Grant </t>
  </si>
  <si>
    <t>SCSC B&amp;M Supplement</t>
  </si>
  <si>
    <t>Excludes categorical grants</t>
  </si>
  <si>
    <t>Funding for SCSC Supplement (Brick &amp; Mortar)</t>
  </si>
  <si>
    <t>SCSC Virtual Supplement</t>
  </si>
  <si>
    <t>SCSC B&amp;M Avg per FTE x Number of Students</t>
  </si>
  <si>
    <t>SCSC Virtual Avg per FTE x Number of Students</t>
  </si>
  <si>
    <t>Funding for SCSC Supplement (Virtual)</t>
  </si>
  <si>
    <t>SCSC Admin Fee</t>
  </si>
  <si>
    <t>Row 41 Subtotal x .02 (or .01 Year 1)</t>
  </si>
  <si>
    <t xml:space="preserve">Funding for Training &amp; Experience (T&amp;E) </t>
  </si>
  <si>
    <t xml:space="preserve">Funding for Health Insurance (HI) </t>
  </si>
  <si>
    <t>Expense</t>
  </si>
  <si>
    <t>Planning Yr</t>
  </si>
  <si>
    <t xml:space="preserve">Does the Total Expenses (Row 230) = 100%? Note: Row 230 sums the columns &amp; divides by 2 to remove the subtotal lines.  This is to ensure the individual row lines are calculating correctly.  </t>
  </si>
  <si>
    <t xml:space="preserve">Please input your beginning cash balance into cell B5 if you have received private funding prior to this Planning Year.  </t>
  </si>
  <si>
    <t>945/mo or 11,340/yr x Number of Certified Employees</t>
  </si>
  <si>
    <t>80 sq ft per student</t>
  </si>
  <si>
    <t>27-1</t>
  </si>
  <si>
    <t>Microsoft office is free for schools. Students will use Schoology seeing their grade and assignments which is $10 per student.</t>
  </si>
  <si>
    <t>This is based on a school wide field trip with lunch and transportation.</t>
  </si>
  <si>
    <t>Based on GCA accredited fees http://gac.coe.uga.edu/gac-standards/accreditation-requirements-for-all-schools-agencies-and-centers-organization/</t>
  </si>
  <si>
    <t>Based on the median price of PE classes per school per year</t>
  </si>
  <si>
    <t>Total rent is 15,465.99 per month for Y1. That cost is split with two schools since they are co-located</t>
  </si>
  <si>
    <t xml:space="preserve">Salary based on an hourly salary of $15 per hour for a 40 hour work week and 9 month work year. </t>
  </si>
  <si>
    <t>Schools will share CFO who will complete reports for both schools so cost is split between 2 schools. Total pay is 76,000 for the 1st year.</t>
  </si>
  <si>
    <t>Based on $50 per student.</t>
  </si>
  <si>
    <t>Based on $30 per student.</t>
  </si>
  <si>
    <t xml:space="preserve">Based on $5 per student.Art is not a course offering for LLA. </t>
  </si>
  <si>
    <t>LLA will not provide athletic services</t>
  </si>
  <si>
    <t>Payroll Services will be 1,800 a month ($21,600 Yearly) with Avalon Consulting. Both schools will split this cost at $10,800 a year.</t>
  </si>
  <si>
    <t>Price is included with payroll services with Avalon Consulting Services</t>
  </si>
  <si>
    <t>$3/student plus 1.5% year over year inflation</t>
  </si>
  <si>
    <t xml:space="preserve">Entreprenuership teacher </t>
  </si>
  <si>
    <t>Based on 19.98% of teacher salaries.</t>
  </si>
  <si>
    <t>Based on $5500 for each full time employee</t>
  </si>
  <si>
    <t>Payroll services are included in line item # 103</t>
  </si>
  <si>
    <t>This is based on a quote given for AT&amp;T for phone and internet for the entire building for 153 per month ($1,836.00 yearly) which will be split between the schools ($918.00)</t>
  </si>
  <si>
    <t>Food Quote is from Elnor Food services ($5.50 a day per student) for breakfast and lunch services for 180 school days.</t>
  </si>
  <si>
    <t>N/A</t>
  </si>
  <si>
    <t xml:space="preserve">Est cost for utilities is at $5,000 a month per property manager for proposed location. Utlities include Heat/Gas,Electricty,and AC. This will be a shared expense between both schools. </t>
  </si>
  <si>
    <t>There is no additional cost for ground maintenance.</t>
  </si>
  <si>
    <t xml:space="preserve">Propsed Property already has fire sprinkler system installed. </t>
  </si>
  <si>
    <t>These values represent the projected annual common area maintenance of $1 per square foot. This amount will be split between 2 schools.</t>
  </si>
  <si>
    <t>The goal to is to ultimately apply for funding or solicit resources to attain a counselor which is why it is not included in budget.</t>
  </si>
  <si>
    <t>Liberty Leadership Academy</t>
  </si>
  <si>
    <t>The average teacher salary starts at  55,000 and will increase by 3% each year</t>
  </si>
  <si>
    <t>The principal  will increase by 2.5% each year</t>
  </si>
  <si>
    <t>The goal to is to ultimately apply for funding or solicit resources to develop an athletics program.</t>
  </si>
  <si>
    <t>Based on computer quote on Best Buy, taxes included.The cost will make it possible for LLA to be one-to-one. Each student will have a computer.</t>
  </si>
  <si>
    <t>Based on NWEA quote that is $15 per student, WIDA test/screens are $4 per student.</t>
  </si>
  <si>
    <t xml:space="preserve">These values represent are free because LLA will use an auditor from the SCSC list of vendors which is free. </t>
  </si>
  <si>
    <t xml:space="preserve">Max student-teacher ratio is 27:1; </t>
  </si>
  <si>
    <t>Based on quote from Foodease for the operation and oversight of the Free and Reduced Lunch Program. See Line 114 for the food service contract fee.</t>
  </si>
  <si>
    <t>Bonus for LLA employees that stay on for 3 years, $2000 for admin, $4000 for teachers, and $1000 for clerical staff</t>
  </si>
  <si>
    <t>Schools will share Office Manager for the 1st year so cost is split between 2 schools. Total is 44,000 for the 1st year. Following year 1 school will have its own office manager.</t>
  </si>
  <si>
    <t xml:space="preserve">Schools will share Director of Ops for the 1st two years so cost is split between 2 schools. Total is 70,000 for the 1st year.The salary will increase by 3% each year. In Year 3 a Direction of Student Experience/recruitement/retention and Direction of Instruction will be hired). Both will be a split position between both schools. </t>
  </si>
  <si>
    <t>Old Southern Professional Cleaning has quoted LLA at $64 day for janitorial services (5 times a week for half day = $320 a week). LLA will increase to full days if necessary. This will be a shared expense between both schools.</t>
  </si>
  <si>
    <t>$300/staff member plus 1.5% year over year inflation. Staff has some autonomy to decide how they use their staff development funds. Used quotes from online research for average PD/workshop prices.</t>
  </si>
  <si>
    <t>A quote of $13940 per year for the building from Epic.</t>
  </si>
  <si>
    <t>$24/unit plus 1.5% year over year inflation</t>
  </si>
  <si>
    <t>This number is based on having 8% of students who are SPED with a quote of 1,100 (Atlanta Psychoeducational Consulting) for the pschological evaluation and 350 for speech.</t>
  </si>
  <si>
    <t>$10/student plus 1.5% year over year inflation. This line item represents items for materials for recruiting events. See Line Item 119 for marketing cost related to student recruitment.</t>
  </si>
  <si>
    <t xml:space="preserve">$2,500 retainer with Celeste Patten for both schools will be split that cost at $1250 a year. </t>
  </si>
  <si>
    <t>Both schools have a banking account with Atlantic Capital Bank. There are no banking fees with Atlantic Captial Bank.</t>
  </si>
  <si>
    <t>Maintenance Expense is included in the rent. The landloard will be responsible for building repairs.</t>
  </si>
  <si>
    <t>The salary will increase by 3% each year. Year 1 is for a Lead SPED teacher. Following Year 3 when school is fully grown, there will be 2 Sped personnel. One of the SPED teachers will have an advanced role of SPED coordinator and receive an extra 3,000 per year.</t>
  </si>
  <si>
    <t>Based on resources; not included in budget</t>
  </si>
  <si>
    <t>Based on $500 for two computers and SLDS.</t>
  </si>
  <si>
    <t>$90/student plus 1.5% year over year inflation</t>
  </si>
  <si>
    <t>All core curriculum textbooks  that will be used daily in class and free and online. This line item is budgeted for $20 per student for additional text book as requested by staff.</t>
  </si>
  <si>
    <t>Kuma Pest Control has quoted LLA at 75 Quartlerly (4 Times YR = $300.00). This is a shared cost between both schools. $150 a year</t>
  </si>
  <si>
    <t>Waste Management Company has quoted LLA at $134 a month ($1608 Yearly) for waste disposal services. This will be a shared expense between both schools so it is divided by 2.</t>
  </si>
  <si>
    <t>This is a shared expense for 1 bus that is shared between both schools. The satellite bus routes will be set up for both schools.School District Services Transportation has quoted LLA at 385 per day for transportation services for 180 days. Total $69,300 Shared = $35035</t>
  </si>
  <si>
    <t>$65/student plus 1.5% year over year inflation. Includes recruitment events, social media branding, and informationals about the school.</t>
  </si>
  <si>
    <t xml:space="preserve">Will buy furniture in the 1st year and budget to replace anything else moving forward. .Will visit furniture giveaways that are done by districts annually.Will finance furniture over the course of the school year. </t>
  </si>
  <si>
    <t xml:space="preserve">Total is based on average cost to furnish a classroom multiplied by the total number of classes.Will do a down payment for furniture and pay montlhy over the course of 4 years. The 10,000 is to replace any furntiture.Will visit furniture giveaways that are done by districts annually.Will finance furniture over the course of the school year. </t>
  </si>
  <si>
    <t xml:space="preserve">Each year there is $2000 allocated for staff recruitment, expect the fouding year where there is 2700  or $300 per staff member to ensure getting the right peeople on board early on. </t>
  </si>
  <si>
    <t xml:space="preserve">Based on setting up in class mini libraries. The cost reflected is for book shelves and books for each class. This cost is $500 for per class to set up those class libraries. Following there is 1000 for new books each year. </t>
  </si>
  <si>
    <t>$50/student. LLA is a one-to-one campus.</t>
  </si>
  <si>
    <t>$20/student plus 1.5% year over year inflation</t>
  </si>
  <si>
    <t>FY2028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</si>
</sst>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4" formatCode="_(&quot;$&quot;* #,##0.00_);_(&quot;$&quot;* \(#,##0.00\);_(&quot;$&quot;* &quot;-&quot;??_);_(@_)"/>
    <numFmt numFmtId="164" formatCode="&quot;$&quot;#,##0.00"/>
    <numFmt numFmtId="165" formatCode="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6"/>
      <color theme="1"/>
      <name val="Calibri"/>
      <family val="2"/>
      <scheme val="minor"/>
    </font>
    <font>
      <b/>
      <i/>
      <sz val="12"/>
      <color theme="1"/>
      <name val="Calibri"/>
      <family val="2"/>
      <scheme val="minor"/>
    </font>
    <font>
      <sz val="11"/>
      <color theme="1"/>
      <name val="Symbol"/>
      <family val="1"/>
      <charset val="2"/>
    </font>
    <font>
      <sz val="11"/>
      <color theme="1"/>
      <name val="Courier New"/>
      <family val="3"/>
    </font>
    <font>
      <b/>
      <u/>
      <sz val="11"/>
      <color theme="1"/>
      <name val="Calibri"/>
      <family val="2"/>
      <scheme val="minor"/>
    </font>
    <font>
      <u/>
      <sz val="11"/>
      <color theme="1"/>
      <name val="Calibri"/>
      <family val="2"/>
      <scheme val="minor"/>
    </font>
    <font>
      <b/>
      <sz val="14"/>
      <color rgb="FFFF0000"/>
      <name val="Calibri"/>
      <family val="2"/>
      <scheme val="minor"/>
    </font>
    <font>
      <sz val="11"/>
      <color theme="1"/>
      <name val="Calibri"/>
      <family val="2"/>
    </font>
    <font>
      <u/>
      <sz val="11"/>
      <color theme="10"/>
      <name val="Calibri"/>
      <family val="2"/>
      <scheme val="minor"/>
    </font>
    <font>
      <b/>
      <sz val="11.5"/>
      <color theme="1"/>
      <name val="Calibri"/>
      <family val="2"/>
      <scheme val="minor"/>
    </font>
    <font>
      <b/>
      <i/>
      <sz val="11"/>
      <color theme="1"/>
      <name val="Calibri"/>
      <family val="2"/>
      <scheme val="minor"/>
    </font>
    <font>
      <b/>
      <sz val="10"/>
      <color theme="1"/>
      <name val="Calibri"/>
      <family val="2"/>
      <scheme val="minor"/>
    </font>
    <font>
      <b/>
      <sz val="11"/>
      <color theme="1"/>
      <name val="Courier New"/>
      <family val="3"/>
    </font>
    <font>
      <sz val="11"/>
      <color rgb="FFFF0000"/>
      <name val="Calibri"/>
      <family val="2"/>
      <scheme val="minor"/>
    </font>
    <font>
      <i/>
      <u/>
      <sz val="11"/>
      <color theme="1"/>
      <name val="Calibri"/>
      <family val="2"/>
      <scheme val="minor"/>
    </font>
  </fonts>
  <fills count="23">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bgColor theme="8" tint="0.79995117038483843"/>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bgColor indexed="64"/>
      </patternFill>
    </fill>
    <fill>
      <gradientFill degree="90">
        <stop position="0">
          <color theme="0"/>
        </stop>
        <stop position="1">
          <color theme="4"/>
        </stop>
      </gradientFill>
    </fill>
    <fill>
      <patternFill patternType="solid">
        <fgColor theme="4" tint="0.79998168889431442"/>
        <bgColor theme="4" tint="0.79998168889431442"/>
      </patternFill>
    </fill>
    <fill>
      <patternFill patternType="solid">
        <fgColor theme="4" tint="0.79998168889431442"/>
        <bgColor theme="7" tint="0.59996337778862885"/>
      </patternFill>
    </fill>
    <fill>
      <patternFill patternType="solid">
        <fgColor theme="5" tint="0.79998168889431442"/>
        <bgColor theme="7" tint="0.59996337778862885"/>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7C8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7" tint="0.79998168889431442"/>
        <bgColor theme="7" tint="0.59996337778862885"/>
      </patternFill>
    </fill>
    <fill>
      <patternFill patternType="solid">
        <fgColor theme="1" tint="0.49998474074526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theme="4" tint="0.39997558519241921"/>
      </left>
      <right/>
      <top style="thin">
        <color theme="4" tint="0.39997558519241921"/>
      </top>
      <bottom style="thin">
        <color theme="4" tint="0.39997558519241921"/>
      </bottom>
      <diagonal/>
    </border>
    <border>
      <left style="thin">
        <color theme="1"/>
      </left>
      <right style="thin">
        <color theme="1"/>
      </right>
      <top style="thin">
        <color theme="1"/>
      </top>
      <bottom style="thin">
        <color theme="1"/>
      </bottom>
      <diagonal/>
    </border>
    <border>
      <left style="thin">
        <color indexed="64"/>
      </left>
      <right/>
      <top/>
      <bottom/>
      <diagonal/>
    </border>
    <border>
      <left style="thin">
        <color auto="1"/>
      </left>
      <right/>
      <top/>
      <bottom style="thin">
        <color auto="1"/>
      </bottom>
      <diagonal/>
    </border>
  </borders>
  <cellStyleXfs count="4">
    <xf numFmtId="0" fontId="0" fillId="0" borderId="0"/>
    <xf numFmtId="44" fontId="1" fillId="0" borderId="0" applyFont="0" applyFill="0" applyBorder="0" applyAlignment="0" applyProtection="0"/>
    <xf numFmtId="0" fontId="13" fillId="0" borderId="0"/>
    <xf numFmtId="0" fontId="14" fillId="0" borderId="0" applyNumberFormat="0" applyFill="0" applyBorder="0" applyAlignment="0" applyProtection="0"/>
  </cellStyleXfs>
  <cellXfs count="220">
    <xf numFmtId="0" fontId="0" fillId="0" borderId="0" xfId="0"/>
    <xf numFmtId="0" fontId="0" fillId="0" borderId="0" xfId="0" applyAlignment="1">
      <alignment vertical="top" wrapText="1"/>
    </xf>
    <xf numFmtId="0" fontId="0" fillId="0" borderId="0" xfId="0" applyAlignment="1">
      <alignment vertical="center"/>
    </xf>
    <xf numFmtId="10" fontId="0" fillId="0" borderId="0" xfId="0" applyNumberFormat="1"/>
    <xf numFmtId="0" fontId="7" fillId="3" borderId="0" xfId="0" applyFont="1" applyFill="1" applyAlignment="1">
      <alignment vertical="center"/>
    </xf>
    <xf numFmtId="0" fontId="0" fillId="3" borderId="0" xfId="0" applyFill="1" applyAlignment="1">
      <alignment vertical="center"/>
    </xf>
    <xf numFmtId="0" fontId="0" fillId="3" borderId="0" xfId="0" applyFill="1" applyAlignment="1">
      <alignment vertical="center" wrapText="1"/>
    </xf>
    <xf numFmtId="0" fontId="8" fillId="3" borderId="0" xfId="0" applyFont="1" applyFill="1" applyAlignment="1">
      <alignment horizontal="right" vertical="top" wrapText="1"/>
    </xf>
    <xf numFmtId="0" fontId="0" fillId="3" borderId="0" xfId="0" applyFill="1" applyAlignment="1">
      <alignment vertical="top"/>
    </xf>
    <xf numFmtId="0" fontId="0" fillId="3" borderId="0" xfId="0" applyFill="1" applyAlignment="1">
      <alignment vertical="top" wrapText="1"/>
    </xf>
    <xf numFmtId="0" fontId="0" fillId="0" borderId="0" xfId="0" applyAlignment="1">
      <alignment wrapText="1"/>
    </xf>
    <xf numFmtId="0" fontId="3" fillId="3" borderId="1" xfId="0" applyFont="1" applyFill="1" applyBorder="1" applyAlignment="1" applyProtection="1">
      <alignment horizontal="center"/>
      <protection locked="0"/>
    </xf>
    <xf numFmtId="9" fontId="0" fillId="0" borderId="0" xfId="0" applyNumberFormat="1"/>
    <xf numFmtId="0" fontId="2" fillId="0" borderId="0" xfId="0" applyFont="1"/>
    <xf numFmtId="0" fontId="11" fillId="0" borderId="0" xfId="0" applyFont="1"/>
    <xf numFmtId="41" fontId="0" fillId="0" borderId="0" xfId="0" applyNumberFormat="1"/>
    <xf numFmtId="0" fontId="8" fillId="3" borderId="0" xfId="0" applyFont="1" applyFill="1" applyAlignment="1">
      <alignment horizontal="right" vertical="top"/>
    </xf>
    <xf numFmtId="0" fontId="11" fillId="0" borderId="0" xfId="0" applyFont="1" applyAlignment="1">
      <alignment horizontal="right"/>
    </xf>
    <xf numFmtId="0" fontId="0" fillId="0" borderId="0" xfId="0" quotePrefix="1"/>
    <xf numFmtId="41" fontId="0" fillId="0" borderId="1" xfId="0" applyNumberFormat="1" applyBorder="1" applyProtection="1">
      <protection locked="0"/>
    </xf>
    <xf numFmtId="0" fontId="0" fillId="0" borderId="1" xfId="0" applyBorder="1" applyAlignment="1">
      <alignment wrapText="1"/>
    </xf>
    <xf numFmtId="3" fontId="0" fillId="5" borderId="1" xfId="0" applyNumberFormat="1" applyFill="1" applyBorder="1" applyProtection="1">
      <protection locked="0"/>
    </xf>
    <xf numFmtId="41" fontId="0" fillId="5" borderId="1" xfId="0" applyNumberFormat="1" applyFill="1" applyBorder="1" applyProtection="1">
      <protection locked="0"/>
    </xf>
    <xf numFmtId="41" fontId="0" fillId="5" borderId="1" xfId="0" applyNumberFormat="1" applyFill="1" applyBorder="1"/>
    <xf numFmtId="41" fontId="0" fillId="6" borderId="1" xfId="0" applyNumberFormat="1" applyFill="1" applyBorder="1" applyProtection="1">
      <protection locked="0"/>
    </xf>
    <xf numFmtId="41" fontId="0" fillId="6" borderId="1" xfId="0" applyNumberFormat="1" applyFill="1" applyBorder="1" applyProtection="1">
      <protection hidden="1"/>
    </xf>
    <xf numFmtId="41" fontId="0" fillId="6" borderId="1" xfId="1" applyNumberFormat="1" applyFont="1" applyFill="1" applyBorder="1" applyProtection="1">
      <protection hidden="1"/>
    </xf>
    <xf numFmtId="41" fontId="0" fillId="2" borderId="1" xfId="0" applyNumberFormat="1" applyFill="1" applyBorder="1" applyProtection="1">
      <protection hidden="1"/>
    </xf>
    <xf numFmtId="0" fontId="0" fillId="0" borderId="2" xfId="0" applyBorder="1" applyProtection="1">
      <protection hidden="1"/>
    </xf>
    <xf numFmtId="0" fontId="0" fillId="7" borderId="2" xfId="0" applyFill="1" applyBorder="1" applyProtection="1">
      <protection hidden="1"/>
    </xf>
    <xf numFmtId="41" fontId="0" fillId="7" borderId="2" xfId="0" applyNumberFormat="1" applyFill="1" applyBorder="1" applyProtection="1">
      <protection hidden="1"/>
    </xf>
    <xf numFmtId="165" fontId="0" fillId="7" borderId="1" xfId="0" applyNumberFormat="1" applyFill="1" applyBorder="1" applyAlignment="1" applyProtection="1">
      <alignment wrapText="1"/>
      <protection hidden="1"/>
    </xf>
    <xf numFmtId="0" fontId="0" fillId="8" borderId="2" xfId="0" applyFill="1" applyBorder="1" applyProtection="1">
      <protection hidden="1"/>
    </xf>
    <xf numFmtId="0" fontId="0" fillId="8" borderId="1" xfId="0" applyFill="1" applyBorder="1" applyProtection="1">
      <protection hidden="1"/>
    </xf>
    <xf numFmtId="0" fontId="9" fillId="3" borderId="0" xfId="0" applyFont="1" applyFill="1" applyAlignment="1">
      <alignment horizontal="right" vertical="top"/>
    </xf>
    <xf numFmtId="0" fontId="0" fillId="3" borderId="0" xfId="0" applyFill="1" applyAlignment="1">
      <alignment horizontal="left" vertical="top" wrapText="1"/>
    </xf>
    <xf numFmtId="0" fontId="0" fillId="3" borderId="0" xfId="0" applyFill="1" applyAlignment="1">
      <alignment horizontal="left" vertical="top"/>
    </xf>
    <xf numFmtId="0" fontId="7"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horizontal="left" vertical="top"/>
    </xf>
    <xf numFmtId="0" fontId="2" fillId="3" borderId="0" xfId="0" applyFont="1" applyFill="1" applyAlignment="1">
      <alignment horizontal="left" vertical="top"/>
    </xf>
    <xf numFmtId="0" fontId="0" fillId="0" borderId="0" xfId="0" applyAlignment="1">
      <alignment vertical="top"/>
    </xf>
    <xf numFmtId="0" fontId="13" fillId="3" borderId="0" xfId="0" applyFont="1" applyFill="1" applyAlignment="1">
      <alignment vertical="top"/>
    </xf>
    <xf numFmtId="0" fontId="0" fillId="5" borderId="1" xfId="0" applyFill="1" applyBorder="1" applyAlignment="1">
      <alignment vertical="top" wrapText="1"/>
    </xf>
    <xf numFmtId="0" fontId="0" fillId="6" borderId="1" xfId="0" applyFill="1" applyBorder="1" applyAlignment="1" applyProtection="1">
      <alignment vertical="top" wrapText="1"/>
      <protection locked="0"/>
    </xf>
    <xf numFmtId="0" fontId="0" fillId="5" borderId="1" xfId="0" applyFill="1" applyBorder="1" applyAlignment="1" applyProtection="1">
      <alignment vertical="top" wrapText="1"/>
      <protection locked="0"/>
    </xf>
    <xf numFmtId="0" fontId="0" fillId="0" borderId="1" xfId="0" applyBorder="1" applyAlignment="1" applyProtection="1">
      <alignment horizontal="center"/>
      <protection hidden="1"/>
    </xf>
    <xf numFmtId="0" fontId="4" fillId="3" borderId="1" xfId="0" applyFont="1" applyFill="1" applyBorder="1" applyAlignment="1">
      <alignment wrapText="1"/>
    </xf>
    <xf numFmtId="0" fontId="3" fillId="3" borderId="1" xfId="0" applyFont="1" applyFill="1" applyBorder="1" applyAlignment="1">
      <alignment horizontal="center" vertical="center"/>
    </xf>
    <xf numFmtId="10" fontId="3" fillId="3" borderId="1" xfId="0" applyNumberFormat="1" applyFont="1" applyFill="1" applyBorder="1" applyAlignment="1">
      <alignment horizontal="center" vertical="center"/>
    </xf>
    <xf numFmtId="0" fontId="0" fillId="7" borderId="1" xfId="0" applyFill="1" applyBorder="1"/>
    <xf numFmtId="0" fontId="4" fillId="8" borderId="1" xfId="0" applyFont="1" applyFill="1" applyBorder="1" applyAlignment="1">
      <alignment wrapText="1"/>
    </xf>
    <xf numFmtId="164" fontId="0" fillId="8" borderId="1" xfId="0" applyNumberFormat="1" applyFill="1" applyBorder="1"/>
    <xf numFmtId="0" fontId="3" fillId="8" borderId="12" xfId="0" applyFont="1" applyFill="1" applyBorder="1" applyAlignment="1">
      <alignment horizontal="left" vertical="top" wrapText="1"/>
    </xf>
    <xf numFmtId="0" fontId="4" fillId="4" borderId="5" xfId="0" applyFont="1" applyFill="1" applyBorder="1" applyAlignment="1">
      <alignment horizontal="left" wrapText="1"/>
    </xf>
    <xf numFmtId="41" fontId="4" fillId="4" borderId="6" xfId="0" applyNumberFormat="1" applyFont="1" applyFill="1" applyBorder="1" applyAlignment="1">
      <alignment horizontal="left"/>
    </xf>
    <xf numFmtId="0" fontId="4" fillId="4" borderId="6" xfId="0" applyFont="1" applyFill="1" applyBorder="1" applyAlignment="1">
      <alignment horizontal="left"/>
    </xf>
    <xf numFmtId="0" fontId="3" fillId="3" borderId="11" xfId="0" applyFont="1" applyFill="1" applyBorder="1" applyAlignment="1">
      <alignment horizontal="left" vertical="top" wrapText="1"/>
    </xf>
    <xf numFmtId="0" fontId="0" fillId="7" borderId="2" xfId="0" applyFill="1" applyBorder="1" applyAlignment="1">
      <alignment wrapText="1"/>
    </xf>
    <xf numFmtId="41" fontId="0" fillId="7" borderId="2" xfId="0" applyNumberFormat="1" applyFill="1" applyBorder="1"/>
    <xf numFmtId="165" fontId="0" fillId="3" borderId="1" xfId="0" applyNumberFormat="1" applyFill="1" applyBorder="1" applyAlignment="1">
      <alignment wrapText="1"/>
    </xf>
    <xf numFmtId="41" fontId="0" fillId="0" borderId="2" xfId="0" applyNumberFormat="1" applyBorder="1"/>
    <xf numFmtId="0" fontId="4" fillId="0" borderId="1" xfId="0" applyFont="1" applyBorder="1" applyAlignment="1">
      <alignment wrapText="1"/>
    </xf>
    <xf numFmtId="41" fontId="3" fillId="3" borderId="1" xfId="0" applyNumberFormat="1" applyFont="1" applyFill="1" applyBorder="1"/>
    <xf numFmtId="0" fontId="4" fillId="4" borderId="8" xfId="0" applyFont="1" applyFill="1" applyBorder="1" applyAlignment="1">
      <alignment horizontal="left" wrapText="1"/>
    </xf>
    <xf numFmtId="41" fontId="4" fillId="4" borderId="9" xfId="0" applyNumberFormat="1" applyFont="1" applyFill="1" applyBorder="1" applyAlignment="1">
      <alignment horizontal="left"/>
    </xf>
    <xf numFmtId="0" fontId="4" fillId="4" borderId="10" xfId="0" applyFont="1" applyFill="1" applyBorder="1" applyAlignment="1">
      <alignment horizontal="left"/>
    </xf>
    <xf numFmtId="165" fontId="0" fillId="3" borderId="2" xfId="0" applyNumberFormat="1" applyFill="1" applyBorder="1" applyAlignment="1">
      <alignment wrapText="1"/>
    </xf>
    <xf numFmtId="165" fontId="0" fillId="7" borderId="1" xfId="0" applyNumberFormat="1" applyFill="1" applyBorder="1" applyAlignment="1">
      <alignment wrapText="1"/>
    </xf>
    <xf numFmtId="165" fontId="0" fillId="0" borderId="1" xfId="0" applyNumberFormat="1" applyBorder="1" applyAlignment="1">
      <alignment wrapText="1"/>
    </xf>
    <xf numFmtId="165" fontId="3" fillId="3" borderId="1" xfId="0" applyNumberFormat="1" applyFont="1" applyFill="1" applyBorder="1" applyAlignment="1">
      <alignment wrapText="1"/>
    </xf>
    <xf numFmtId="165" fontId="0" fillId="7" borderId="2" xfId="0" applyNumberFormat="1" applyFill="1" applyBorder="1" applyAlignment="1">
      <alignment wrapText="1"/>
    </xf>
    <xf numFmtId="41" fontId="3" fillId="3" borderId="1" xfId="1" applyNumberFormat="1" applyFont="1" applyFill="1" applyBorder="1" applyProtection="1"/>
    <xf numFmtId="165" fontId="4" fillId="0" borderId="1" xfId="0" applyNumberFormat="1" applyFont="1" applyBorder="1" applyAlignment="1">
      <alignment wrapText="1"/>
    </xf>
    <xf numFmtId="41" fontId="4" fillId="3" borderId="1" xfId="0" applyNumberFormat="1" applyFont="1" applyFill="1" applyBorder="1"/>
    <xf numFmtId="41" fontId="3" fillId="8" borderId="1" xfId="0" applyNumberFormat="1" applyFont="1" applyFill="1" applyBorder="1"/>
    <xf numFmtId="0" fontId="6" fillId="8" borderId="1" xfId="0" applyFont="1" applyFill="1" applyBorder="1" applyAlignment="1">
      <alignment wrapText="1"/>
    </xf>
    <xf numFmtId="41" fontId="4" fillId="8" borderId="1" xfId="0" applyNumberFormat="1" applyFont="1" applyFill="1" applyBorder="1"/>
    <xf numFmtId="0" fontId="14" fillId="0" borderId="0" xfId="3" applyAlignment="1">
      <alignment horizontal="left"/>
    </xf>
    <xf numFmtId="0" fontId="0" fillId="0" borderId="0" xfId="0" applyAlignment="1">
      <alignment horizontal="left"/>
    </xf>
    <xf numFmtId="41" fontId="0" fillId="3" borderId="1" xfId="0" applyNumberFormat="1" applyFill="1" applyBorder="1" applyProtection="1">
      <protection locked="0"/>
    </xf>
    <xf numFmtId="41" fontId="0" fillId="7" borderId="1" xfId="0" applyNumberFormat="1" applyFill="1" applyBorder="1" applyProtection="1">
      <protection locked="0"/>
    </xf>
    <xf numFmtId="41" fontId="0" fillId="3" borderId="2" xfId="0" applyNumberFormat="1" applyFill="1" applyBorder="1" applyProtection="1">
      <protection locked="0"/>
    </xf>
    <xf numFmtId="41" fontId="0" fillId="7" borderId="2" xfId="0" applyNumberFormat="1" applyFill="1" applyBorder="1" applyProtection="1">
      <protection locked="0"/>
    </xf>
    <xf numFmtId="41" fontId="0" fillId="0" borderId="2" xfId="0" applyNumberFormat="1" applyBorder="1" applyProtection="1">
      <protection locked="0"/>
    </xf>
    <xf numFmtId="41" fontId="4" fillId="8" borderId="1" xfId="0" applyNumberFormat="1" applyFont="1" applyFill="1" applyBorder="1" applyProtection="1">
      <protection hidden="1"/>
    </xf>
    <xf numFmtId="0" fontId="4" fillId="7" borderId="1" xfId="0" applyFont="1" applyFill="1" applyBorder="1" applyAlignment="1">
      <alignment wrapText="1"/>
    </xf>
    <xf numFmtId="0" fontId="3" fillId="0" borderId="0" xfId="0" applyFont="1" applyAlignment="1">
      <alignment horizontal="center"/>
    </xf>
    <xf numFmtId="0" fontId="4" fillId="0" borderId="1" xfId="0" applyFont="1" applyBorder="1" applyAlignment="1">
      <alignment horizontal="center" wrapText="1"/>
    </xf>
    <xf numFmtId="0" fontId="4" fillId="0" borderId="1" xfId="0" applyFont="1" applyBorder="1" applyAlignment="1">
      <alignment horizontal="center"/>
    </xf>
    <xf numFmtId="0" fontId="4" fillId="0" borderId="0" xfId="0" applyFont="1" applyAlignment="1">
      <alignment horizontal="center" vertical="center"/>
    </xf>
    <xf numFmtId="0" fontId="2" fillId="0" borderId="0" xfId="0" applyFont="1" applyAlignment="1">
      <alignment horizontal="left" vertical="top"/>
    </xf>
    <xf numFmtId="41" fontId="0" fillId="0" borderId="0" xfId="0" applyNumberFormat="1" applyAlignment="1">
      <alignment wrapText="1"/>
    </xf>
    <xf numFmtId="0" fontId="3" fillId="3" borderId="1" xfId="0" applyFont="1" applyFill="1" applyBorder="1" applyAlignment="1">
      <alignment horizontal="center" wrapText="1"/>
    </xf>
    <xf numFmtId="0" fontId="0" fillId="2" borderId="1" xfId="0" applyFill="1" applyBorder="1"/>
    <xf numFmtId="0" fontId="15" fillId="5" borderId="1" xfId="0" applyFont="1" applyFill="1" applyBorder="1" applyAlignment="1">
      <alignment vertical="top" wrapText="1"/>
    </xf>
    <xf numFmtId="41" fontId="0" fillId="2" borderId="1" xfId="0" applyNumberFormat="1" applyFill="1" applyBorder="1"/>
    <xf numFmtId="0" fontId="0" fillId="6" borderId="7" xfId="0" applyFill="1" applyBorder="1" applyAlignment="1">
      <alignment vertical="top" wrapText="1"/>
    </xf>
    <xf numFmtId="0" fontId="0" fillId="6" borderId="1" xfId="0" applyFill="1" applyBorder="1" applyAlignment="1">
      <alignment vertical="top" wrapText="1"/>
    </xf>
    <xf numFmtId="0" fontId="0" fillId="2" borderId="0" xfId="0" applyFill="1"/>
    <xf numFmtId="0" fontId="0" fillId="9" borderId="14" xfId="0" applyFill="1" applyBorder="1"/>
    <xf numFmtId="0" fontId="0" fillId="0" borderId="1" xfId="0" applyBorder="1"/>
    <xf numFmtId="0" fontId="0" fillId="0" borderId="1" xfId="0" applyBorder="1" applyAlignment="1">
      <alignment horizontal="center"/>
    </xf>
    <xf numFmtId="0" fontId="0" fillId="5" borderId="0" xfId="0" applyFill="1"/>
    <xf numFmtId="0" fontId="3" fillId="0" borderId="1" xfId="0" applyFont="1" applyBorder="1" applyAlignment="1" applyProtection="1">
      <alignment horizontal="center" wrapText="1"/>
      <protection locked="0"/>
    </xf>
    <xf numFmtId="0" fontId="4" fillId="5" borderId="0" xfId="0" applyFont="1" applyFill="1"/>
    <xf numFmtId="165" fontId="4" fillId="10" borderId="5" xfId="0" applyNumberFormat="1" applyFont="1" applyFill="1" applyBorder="1" applyAlignment="1">
      <alignment wrapText="1"/>
    </xf>
    <xf numFmtId="41" fontId="0" fillId="10" borderId="6" xfId="0" applyNumberFormat="1" applyFill="1" applyBorder="1"/>
    <xf numFmtId="0" fontId="0" fillId="10" borderId="7" xfId="0" applyFill="1" applyBorder="1" applyProtection="1">
      <protection hidden="1"/>
    </xf>
    <xf numFmtId="0" fontId="4" fillId="6" borderId="0" xfId="0" applyFont="1" applyFill="1"/>
    <xf numFmtId="165" fontId="4" fillId="11" borderId="5" xfId="0" applyNumberFormat="1" applyFont="1" applyFill="1" applyBorder="1" applyAlignment="1">
      <alignment wrapText="1"/>
    </xf>
    <xf numFmtId="41" fontId="0" fillId="11" borderId="6" xfId="0" applyNumberFormat="1" applyFill="1" applyBorder="1"/>
    <xf numFmtId="0" fontId="0" fillId="11" borderId="7" xfId="0" applyFill="1" applyBorder="1" applyProtection="1">
      <protection hidden="1"/>
    </xf>
    <xf numFmtId="41" fontId="0" fillId="5" borderId="1" xfId="0" applyNumberFormat="1" applyFill="1" applyBorder="1" applyAlignment="1" applyProtection="1">
      <alignment horizontal="right"/>
      <protection locked="0"/>
    </xf>
    <xf numFmtId="0" fontId="3" fillId="3" borderId="0" xfId="0" applyFont="1" applyFill="1" applyAlignment="1">
      <alignment horizontal="center" vertical="center"/>
    </xf>
    <xf numFmtId="0" fontId="7" fillId="3" borderId="0" xfId="0" applyFont="1" applyFill="1" applyAlignment="1">
      <alignment horizontal="left" vertical="center"/>
    </xf>
    <xf numFmtId="0" fontId="11" fillId="0" borderId="8" xfId="0" applyFont="1" applyBorder="1"/>
    <xf numFmtId="0" fontId="0" fillId="0" borderId="9" xfId="0" applyBorder="1"/>
    <xf numFmtId="0" fontId="0" fillId="0" borderId="10" xfId="0" applyBorder="1"/>
    <xf numFmtId="0" fontId="0" fillId="0" borderId="16" xfId="0" applyBorder="1"/>
    <xf numFmtId="0" fontId="0" fillId="0" borderId="12" xfId="0" applyBorder="1"/>
    <xf numFmtId="0" fontId="0" fillId="0" borderId="17" xfId="0" applyBorder="1"/>
    <xf numFmtId="10" fontId="0" fillId="0" borderId="4" xfId="0" applyNumberFormat="1" applyBorder="1"/>
    <xf numFmtId="0" fontId="0" fillId="0" borderId="4" xfId="0" applyBorder="1"/>
    <xf numFmtId="0" fontId="0" fillId="0" borderId="11" xfId="0" applyBorder="1"/>
    <xf numFmtId="41" fontId="0" fillId="0" borderId="0" xfId="0" applyNumberFormat="1" applyAlignment="1">
      <alignment horizontal="center"/>
    </xf>
    <xf numFmtId="0" fontId="0" fillId="12" borderId="1" xfId="0" applyFill="1" applyBorder="1" applyAlignment="1">
      <alignment vertical="top" wrapText="1"/>
    </xf>
    <xf numFmtId="41" fontId="0" fillId="12" borderId="1" xfId="0" applyNumberFormat="1" applyFill="1" applyBorder="1" applyProtection="1">
      <protection hidden="1"/>
    </xf>
    <xf numFmtId="0" fontId="2" fillId="6" borderId="1" xfId="0" applyFont="1" applyFill="1" applyBorder="1" applyAlignment="1">
      <alignment vertical="top" wrapText="1"/>
    </xf>
    <xf numFmtId="41" fontId="4" fillId="8" borderId="1" xfId="0" applyNumberFormat="1" applyFont="1" applyFill="1" applyBorder="1" applyProtection="1">
      <protection locked="0"/>
    </xf>
    <xf numFmtId="0" fontId="3" fillId="14" borderId="1" xfId="0" applyFont="1" applyFill="1" applyBorder="1" applyAlignment="1" applyProtection="1">
      <alignment wrapText="1"/>
      <protection locked="0"/>
    </xf>
    <xf numFmtId="0" fontId="0" fillId="15" borderId="2" xfId="0" applyFill="1" applyBorder="1" applyAlignment="1" applyProtection="1">
      <alignment vertical="top" wrapText="1"/>
      <protection locked="0"/>
    </xf>
    <xf numFmtId="41" fontId="0" fillId="15" borderId="2" xfId="0" applyNumberFormat="1" applyFill="1" applyBorder="1" applyProtection="1">
      <protection locked="0"/>
    </xf>
    <xf numFmtId="0" fontId="0" fillId="15" borderId="1" xfId="0" applyFill="1" applyBorder="1" applyAlignment="1" applyProtection="1">
      <alignment vertical="top" wrapText="1"/>
      <protection locked="0"/>
    </xf>
    <xf numFmtId="41" fontId="0" fillId="15" borderId="1" xfId="0" applyNumberFormat="1" applyFill="1" applyBorder="1" applyProtection="1">
      <protection locked="0"/>
    </xf>
    <xf numFmtId="0" fontId="2" fillId="15" borderId="1" xfId="0" applyFont="1" applyFill="1" applyBorder="1" applyAlignment="1">
      <alignment vertical="top" wrapText="1"/>
    </xf>
    <xf numFmtId="41" fontId="0" fillId="15" borderId="1" xfId="0" applyNumberFormat="1" applyFill="1" applyBorder="1" applyProtection="1">
      <protection hidden="1"/>
    </xf>
    <xf numFmtId="0" fontId="0" fillId="15" borderId="1" xfId="0" applyFill="1" applyBorder="1" applyAlignment="1">
      <alignment vertical="top" wrapText="1"/>
    </xf>
    <xf numFmtId="0" fontId="0" fillId="15" borderId="16" xfId="0" applyFill="1" applyBorder="1" applyProtection="1">
      <protection locked="0"/>
    </xf>
    <xf numFmtId="0" fontId="2" fillId="16" borderId="5" xfId="0" applyFont="1" applyFill="1" applyBorder="1" applyAlignment="1">
      <alignment vertical="top" wrapText="1"/>
    </xf>
    <xf numFmtId="41" fontId="0" fillId="16" borderId="6" xfId="0" applyNumberFormat="1" applyFill="1" applyBorder="1"/>
    <xf numFmtId="0" fontId="0" fillId="16" borderId="7" xfId="0" applyFill="1" applyBorder="1" applyAlignment="1">
      <alignment vertical="top" wrapText="1"/>
    </xf>
    <xf numFmtId="0" fontId="2" fillId="16" borderId="1" xfId="0" applyFont="1" applyFill="1" applyBorder="1" applyAlignment="1">
      <alignment vertical="top" wrapText="1"/>
    </xf>
    <xf numFmtId="41" fontId="0" fillId="16" borderId="1" xfId="0" applyNumberFormat="1" applyFill="1" applyBorder="1" applyProtection="1">
      <protection hidden="1"/>
    </xf>
    <xf numFmtId="0" fontId="0" fillId="16" borderId="1" xfId="0" applyFill="1" applyBorder="1" applyAlignment="1">
      <alignment vertical="top" wrapText="1"/>
    </xf>
    <xf numFmtId="0" fontId="0" fillId="17" borderId="1" xfId="0" applyFill="1" applyBorder="1" applyAlignment="1">
      <alignment vertical="top" wrapText="1"/>
    </xf>
    <xf numFmtId="41" fontId="0" fillId="17" borderId="1" xfId="0" applyNumberFormat="1" applyFill="1" applyBorder="1" applyProtection="1">
      <protection locked="0"/>
    </xf>
    <xf numFmtId="0" fontId="0" fillId="17" borderId="1" xfId="0" applyFill="1" applyBorder="1" applyAlignment="1">
      <alignment vertical="top"/>
    </xf>
    <xf numFmtId="0" fontId="2" fillId="18" borderId="1" xfId="0" applyFont="1" applyFill="1" applyBorder="1" applyAlignment="1">
      <alignment vertical="top" wrapText="1"/>
    </xf>
    <xf numFmtId="41" fontId="0" fillId="18" borderId="1" xfId="0" applyNumberFormat="1" applyFill="1" applyBorder="1" applyProtection="1">
      <protection hidden="1"/>
    </xf>
    <xf numFmtId="0" fontId="0" fillId="18" borderId="1" xfId="0" applyFill="1" applyBorder="1" applyAlignment="1">
      <alignment vertical="top" wrapText="1"/>
    </xf>
    <xf numFmtId="0" fontId="2" fillId="5" borderId="5" xfId="0" applyFont="1" applyFill="1" applyBorder="1"/>
    <xf numFmtId="41" fontId="5" fillId="5" borderId="7" xfId="0" applyNumberFormat="1" applyFont="1" applyFill="1" applyBorder="1" applyAlignment="1">
      <alignment horizontal="center"/>
    </xf>
    <xf numFmtId="41" fontId="5" fillId="5" borderId="1" xfId="0" applyNumberFormat="1" applyFont="1" applyFill="1" applyBorder="1" applyAlignment="1">
      <alignment horizontal="center"/>
    </xf>
    <xf numFmtId="0" fontId="2" fillId="5" borderId="1" xfId="0" applyFont="1" applyFill="1" applyBorder="1"/>
    <xf numFmtId="41" fontId="5" fillId="5" borderId="2" xfId="0" applyNumberFormat="1" applyFont="1" applyFill="1" applyBorder="1" applyAlignment="1">
      <alignment horizontal="center"/>
    </xf>
    <xf numFmtId="41" fontId="5" fillId="19" borderId="15" xfId="0" applyNumberFormat="1" applyFont="1" applyFill="1" applyBorder="1" applyAlignment="1" applyProtection="1">
      <alignment horizontal="center"/>
      <protection locked="0"/>
    </xf>
    <xf numFmtId="0" fontId="2" fillId="19" borderId="0" xfId="0" applyFont="1" applyFill="1" applyAlignment="1">
      <alignment horizontal="left" vertical="top"/>
    </xf>
    <xf numFmtId="41" fontId="0" fillId="19" borderId="0" xfId="0" applyNumberFormat="1" applyFill="1" applyAlignment="1">
      <alignment wrapText="1"/>
    </xf>
    <xf numFmtId="0" fontId="0" fillId="19" borderId="0" xfId="0" applyFill="1"/>
    <xf numFmtId="41" fontId="0" fillId="19" borderId="0" xfId="0" applyNumberFormat="1" applyFill="1"/>
    <xf numFmtId="0" fontId="2" fillId="15" borderId="5" xfId="0" applyFont="1" applyFill="1" applyBorder="1"/>
    <xf numFmtId="41" fontId="5" fillId="15" borderId="15" xfId="0" applyNumberFormat="1" applyFont="1" applyFill="1" applyBorder="1" applyAlignment="1">
      <alignment horizontal="center"/>
    </xf>
    <xf numFmtId="41" fontId="5" fillId="15" borderId="7" xfId="0" applyNumberFormat="1" applyFont="1" applyFill="1" applyBorder="1" applyAlignment="1">
      <alignment horizontal="center"/>
    </xf>
    <xf numFmtId="41" fontId="5" fillId="15" borderId="1" xfId="0" applyNumberFormat="1" applyFont="1" applyFill="1" applyBorder="1" applyAlignment="1">
      <alignment horizontal="center"/>
    </xf>
    <xf numFmtId="0" fontId="2" fillId="15" borderId="1" xfId="0" applyFont="1" applyFill="1" applyBorder="1"/>
    <xf numFmtId="41" fontId="5" fillId="15" borderId="2" xfId="0" applyNumberFormat="1" applyFont="1" applyFill="1" applyBorder="1" applyAlignment="1">
      <alignment horizontal="center"/>
    </xf>
    <xf numFmtId="0" fontId="2" fillId="16" borderId="0" xfId="0" applyFont="1" applyFill="1"/>
    <xf numFmtId="41" fontId="0" fillId="16" borderId="0" xfId="0" applyNumberFormat="1" applyFill="1"/>
    <xf numFmtId="0" fontId="2" fillId="20" borderId="5" xfId="0" applyFont="1" applyFill="1" applyBorder="1"/>
    <xf numFmtId="41" fontId="5" fillId="20" borderId="15" xfId="0" applyNumberFormat="1" applyFont="1" applyFill="1" applyBorder="1" applyAlignment="1">
      <alignment horizontal="center"/>
    </xf>
    <xf numFmtId="0" fontId="4" fillId="15" borderId="0" xfId="0" applyFont="1" applyFill="1"/>
    <xf numFmtId="165" fontId="4" fillId="21" borderId="5" xfId="0" applyNumberFormat="1" applyFont="1" applyFill="1" applyBorder="1" applyAlignment="1">
      <alignment wrapText="1"/>
    </xf>
    <xf numFmtId="41" fontId="0" fillId="21" borderId="6" xfId="0" applyNumberFormat="1" applyFill="1" applyBorder="1"/>
    <xf numFmtId="0" fontId="0" fillId="21" borderId="7" xfId="0" applyFill="1" applyBorder="1" applyProtection="1">
      <protection hidden="1"/>
    </xf>
    <xf numFmtId="46" fontId="0" fillId="5" borderId="1" xfId="0" applyNumberFormat="1" applyFill="1" applyBorder="1" applyProtection="1">
      <protection locked="0"/>
    </xf>
    <xf numFmtId="0" fontId="0" fillId="12" borderId="1" xfId="0" applyFill="1" applyBorder="1"/>
    <xf numFmtId="0" fontId="0" fillId="6" borderId="1" xfId="0" applyFill="1" applyBorder="1"/>
    <xf numFmtId="0" fontId="0" fillId="6" borderId="1" xfId="0" applyFill="1" applyBorder="1" applyAlignment="1">
      <alignment wrapText="1"/>
    </xf>
    <xf numFmtId="0" fontId="2" fillId="6" borderId="1" xfId="0" applyFont="1" applyFill="1" applyBorder="1" applyAlignment="1" applyProtection="1">
      <alignment vertical="top" wrapText="1"/>
      <protection locked="0"/>
    </xf>
    <xf numFmtId="0" fontId="0" fillId="22" borderId="1" xfId="0" applyFill="1" applyBorder="1" applyProtection="1">
      <protection locked="0"/>
    </xf>
    <xf numFmtId="0" fontId="0" fillId="3" borderId="1" xfId="0" applyFill="1" applyBorder="1" applyProtection="1">
      <protection locked="0"/>
    </xf>
    <xf numFmtId="12" fontId="0" fillId="15" borderId="1" xfId="0" applyNumberFormat="1" applyFill="1" applyBorder="1" applyProtection="1">
      <protection locked="0"/>
    </xf>
    <xf numFmtId="12" fontId="0" fillId="7" borderId="1" xfId="0" applyNumberFormat="1" applyFill="1" applyBorder="1" applyProtection="1">
      <protection locked="0"/>
    </xf>
    <xf numFmtId="12" fontId="0" fillId="3" borderId="2" xfId="0" applyNumberFormat="1" applyFill="1" applyBorder="1" applyProtection="1">
      <protection locked="0"/>
    </xf>
    <xf numFmtId="0" fontId="0" fillId="3" borderId="0" xfId="0" applyFill="1" applyAlignment="1">
      <alignment horizontal="left" vertical="top" wrapText="1"/>
    </xf>
    <xf numFmtId="0" fontId="0" fillId="0" borderId="0" xfId="0" applyAlignment="1">
      <alignment vertical="top" wrapText="1"/>
    </xf>
    <xf numFmtId="0" fontId="9" fillId="3" borderId="0" xfId="0" applyFont="1" applyFill="1" applyAlignment="1">
      <alignment horizontal="right" vertical="top"/>
    </xf>
    <xf numFmtId="0" fontId="2" fillId="3" borderId="0" xfId="0" applyFont="1" applyFill="1" applyAlignment="1">
      <alignment horizontal="left" vertical="top" wrapText="1"/>
    </xf>
    <xf numFmtId="0" fontId="2" fillId="3" borderId="0" xfId="0" applyFont="1" applyFill="1" applyAlignment="1">
      <alignment horizontal="left" vertical="top"/>
    </xf>
    <xf numFmtId="0" fontId="4" fillId="3" borderId="0" xfId="0" applyFont="1" applyFill="1" applyAlignment="1">
      <alignment horizontal="center"/>
    </xf>
    <xf numFmtId="0" fontId="3" fillId="3" borderId="0" xfId="0" applyFont="1" applyFill="1" applyAlignment="1">
      <alignment horizontal="center" vertical="center"/>
    </xf>
    <xf numFmtId="0" fontId="3" fillId="3" borderId="0" xfId="0" applyFont="1" applyFill="1" applyAlignment="1">
      <alignment horizontal="center"/>
    </xf>
    <xf numFmtId="0" fontId="13" fillId="3" borderId="0" xfId="0" applyFont="1" applyFill="1" applyAlignment="1">
      <alignment horizontal="left" vertical="top" wrapText="1"/>
    </xf>
    <xf numFmtId="0" fontId="9" fillId="3" borderId="0" xfId="0" applyFont="1" applyFill="1" applyAlignment="1">
      <alignment horizontal="left" vertical="top" wrapText="1"/>
    </xf>
    <xf numFmtId="0" fontId="16" fillId="0" borderId="0" xfId="0" applyFont="1" applyAlignment="1">
      <alignment vertical="top" wrapText="1"/>
    </xf>
    <xf numFmtId="0" fontId="18" fillId="3" borderId="0" xfId="0" applyFont="1" applyFill="1" applyAlignment="1">
      <alignment horizontal="left" vertical="top" wrapText="1"/>
    </xf>
    <xf numFmtId="0" fontId="0" fillId="0" borderId="0" xfId="0" applyAlignment="1">
      <alignment horizontal="left" vertical="top" wrapText="1"/>
    </xf>
    <xf numFmtId="0" fontId="19" fillId="3" borderId="0" xfId="0" applyFont="1" applyFill="1" applyAlignment="1">
      <alignment horizontal="left" vertical="top" wrapText="1"/>
    </xf>
    <xf numFmtId="0" fontId="0" fillId="3" borderId="0" xfId="0" applyFill="1" applyAlignment="1">
      <alignment horizontal="left" vertical="top"/>
    </xf>
    <xf numFmtId="0" fontId="2" fillId="13" borderId="5" xfId="0" applyFont="1" applyFill="1" applyBorder="1" applyAlignment="1">
      <alignment horizontal="center" vertical="top" wrapText="1"/>
    </xf>
    <xf numFmtId="0" fontId="2" fillId="13" borderId="6" xfId="0" applyFont="1" applyFill="1" applyBorder="1" applyAlignment="1">
      <alignment horizontal="center" vertical="top" wrapText="1"/>
    </xf>
    <xf numFmtId="0" fontId="2" fillId="13" borderId="7" xfId="0" applyFont="1" applyFill="1" applyBorder="1" applyAlignment="1">
      <alignment horizontal="center" vertical="top" wrapText="1"/>
    </xf>
    <xf numFmtId="0" fontId="2" fillId="12" borderId="5" xfId="0" applyFont="1" applyFill="1" applyBorder="1" applyAlignment="1">
      <alignment horizontal="center" vertical="top" wrapText="1"/>
    </xf>
    <xf numFmtId="0" fontId="2" fillId="12" borderId="6" xfId="0" applyFont="1" applyFill="1" applyBorder="1" applyAlignment="1">
      <alignment horizontal="center" vertical="top" wrapText="1"/>
    </xf>
    <xf numFmtId="0" fontId="2" fillId="12" borderId="7" xfId="0" applyFont="1" applyFill="1" applyBorder="1" applyAlignment="1">
      <alignment horizontal="center" vertical="top" wrapText="1"/>
    </xf>
    <xf numFmtId="0" fontId="2" fillId="16" borderId="5" xfId="0" applyFont="1" applyFill="1" applyBorder="1" applyAlignment="1">
      <alignment horizontal="center" vertical="top" wrapText="1"/>
    </xf>
    <xf numFmtId="0" fontId="2" fillId="16" borderId="6" xfId="0" applyFont="1" applyFill="1" applyBorder="1" applyAlignment="1">
      <alignment horizontal="center" vertical="top" wrapText="1"/>
    </xf>
    <xf numFmtId="0" fontId="2" fillId="16" borderId="7" xfId="0" applyFont="1" applyFill="1" applyBorder="1" applyAlignment="1">
      <alignment horizontal="center" vertical="top" wrapText="1"/>
    </xf>
    <xf numFmtId="0" fontId="2" fillId="12" borderId="1" xfId="0" applyFont="1" applyFill="1" applyBorder="1" applyAlignment="1">
      <alignment horizontal="center"/>
    </xf>
    <xf numFmtId="0" fontId="14" fillId="0" borderId="0" xfId="3" applyAlignment="1">
      <alignment horizontal="left"/>
    </xf>
    <xf numFmtId="0" fontId="0" fillId="0" borderId="0" xfId="0" applyAlignment="1">
      <alignment horizontal="left"/>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5" borderId="4" xfId="0" applyFont="1" applyFill="1" applyBorder="1" applyAlignment="1">
      <alignment horizontal="center" vertical="center"/>
    </xf>
    <xf numFmtId="0" fontId="17" fillId="3" borderId="3" xfId="0" applyFont="1" applyFill="1" applyBorder="1" applyAlignment="1">
      <alignment horizontal="left" vertical="top" wrapText="1"/>
    </xf>
    <xf numFmtId="0" fontId="17" fillId="3" borderId="13" xfId="0" applyFont="1" applyFill="1" applyBorder="1" applyAlignment="1">
      <alignment horizontal="left" vertical="top" wrapText="1"/>
    </xf>
    <xf numFmtId="0" fontId="6" fillId="6" borderId="4" xfId="0" applyFont="1" applyFill="1" applyBorder="1" applyAlignment="1">
      <alignment horizontal="center" vertical="center"/>
    </xf>
    <xf numFmtId="0" fontId="6" fillId="15" borderId="4" xfId="0" applyFont="1" applyFill="1" applyBorder="1" applyAlignment="1">
      <alignment horizontal="center" vertical="center"/>
    </xf>
  </cellXfs>
  <cellStyles count="4">
    <cellStyle name="Currency" xfId="1" builtinId="4"/>
    <cellStyle name="Hyperlink" xfId="3" builtinId="8"/>
    <cellStyle name="Normal" xfId="0" builtinId="0"/>
    <cellStyle name="Normal 86" xfId="2" xr:uid="{544D3D1A-D9B3-4633-B374-DA9961A8203A}"/>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3" formatCode="0%"/>
      <protection locked="1"/>
    </dxf>
    <dxf>
      <numFmt numFmtId="13" formatCode="0%"/>
      <protection locked="1"/>
    </dxf>
    <dxf>
      <numFmt numFmtId="13" formatCode="0%"/>
      <protection locked="1"/>
    </dxf>
    <dxf>
      <numFmt numFmtId="13" formatCode="0%"/>
      <protection locked="1"/>
    </dxf>
    <dxf>
      <numFmt numFmtId="13" formatCode="0%"/>
      <protection locked="1"/>
    </dxf>
    <dxf>
      <numFmt numFmtId="13" formatCode="0%"/>
      <protection locked="1"/>
    </dxf>
    <dxf>
      <font>
        <b val="0"/>
      </font>
      <alignment horizontal="general" vertical="bottom" textRotation="0" wrapText="1" indent="0" justifyLastLine="0" shrinkToFit="0" readingOrder="0"/>
      <protection locked="1"/>
    </dxf>
    <dxf>
      <protection locked="1"/>
    </dxf>
    <dxf>
      <protection locked="1"/>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FFCC"/>
      <color rgb="FFFFFF99"/>
      <color rgb="FFFFFFFF"/>
      <color rgb="FFFF33CC"/>
      <color rgb="FF33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xdr:col>
      <xdr:colOff>133350</xdr:colOff>
      <xdr:row>87</xdr:row>
      <xdr:rowOff>42862</xdr:rowOff>
    </xdr:from>
    <xdr:ext cx="65" cy="172227"/>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742950" y="36623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75F98F-BD82-4DB7-BFD8-361F868DC47D}" name="Table1" displayName="Table1" ref="A152:G230" totalsRowShown="0" headerRowDxfId="80" dataDxfId="79">
  <autoFilter ref="A152:G230" xr:uid="{9475F98F-BD82-4DB7-BFD8-361F868DC47D}"/>
  <tableColumns count="7">
    <tableColumn id="1" xr3:uid="{780CB4CB-91FD-40EC-AEC6-27AE2499EDA6}" name="Expense" dataDxfId="78">
      <calculatedColumnFormula>+A74</calculatedColumnFormula>
    </tableColumn>
    <tableColumn id="2" xr3:uid="{F40CA299-E664-47B5-82F2-86DCE9F51569}" name="Planning Yr" dataDxfId="77">
      <calculatedColumnFormula>B75/B$133</calculatedColumnFormula>
    </tableColumn>
    <tableColumn id="3" xr3:uid="{8D2462AE-E333-4285-8786-27BFB59F387B}" name="Year 1" dataDxfId="76">
      <calculatedColumnFormula>C75/C$133</calculatedColumnFormula>
    </tableColumn>
    <tableColumn id="4" xr3:uid="{CA8730BF-A04E-45B4-A87A-FF4E8739BF89}" name="Year 2" dataDxfId="75">
      <calculatedColumnFormula>D75/D$133</calculatedColumnFormula>
    </tableColumn>
    <tableColumn id="5" xr3:uid="{F150B4AE-0AB0-4D3D-A8B0-A4707CF1FEA8}" name="Year 3" dataDxfId="74">
      <calculatedColumnFormula>E75/E$133</calculatedColumnFormula>
    </tableColumn>
    <tableColumn id="6" xr3:uid="{3DFC29ED-1C09-4A3B-93A3-9D32C3F86369}" name="Year 4" dataDxfId="73">
      <calculatedColumnFormula>F75/F$133</calculatedColumnFormula>
    </tableColumn>
    <tableColumn id="7" xr3:uid="{C476E33A-D3C1-452C-84C7-A49000363B98}" name="Year 5" dataDxfId="72">
      <calculatedColumnFormula>G75/G$133</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financeweb.doe.k12.ga.us/QBEPublicWeb/ReportsMenu.asp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6"/>
  <sheetViews>
    <sheetView topLeftCell="A5" zoomScaleNormal="100" workbookViewId="0">
      <selection activeCell="L12" sqref="L12"/>
    </sheetView>
  </sheetViews>
  <sheetFormatPr defaultColWidth="8.81640625" defaultRowHeight="14.5" x14ac:dyDescent="0.35"/>
  <cols>
    <col min="2" max="2" width="5.1796875" customWidth="1"/>
  </cols>
  <sheetData>
    <row r="1" spans="1:9" ht="18.5" x14ac:dyDescent="0.45">
      <c r="A1" s="190" t="s">
        <v>95</v>
      </c>
      <c r="B1" s="190"/>
      <c r="C1" s="190"/>
      <c r="D1" s="190"/>
      <c r="E1" s="190"/>
      <c r="F1" s="190"/>
      <c r="G1" s="190"/>
      <c r="H1" s="190"/>
      <c r="I1" s="190"/>
    </row>
    <row r="2" spans="1:9" ht="18.5" x14ac:dyDescent="0.45">
      <c r="A2" s="192" t="s">
        <v>219</v>
      </c>
      <c r="B2" s="192"/>
      <c r="C2" s="192"/>
      <c r="D2" s="192"/>
      <c r="E2" s="192"/>
      <c r="F2" s="192"/>
      <c r="G2" s="192"/>
      <c r="H2" s="192"/>
      <c r="I2" s="192"/>
    </row>
    <row r="3" spans="1:9" ht="11.25" customHeight="1" x14ac:dyDescent="0.35">
      <c r="A3" s="191"/>
      <c r="B3" s="191"/>
      <c r="C3" s="191"/>
      <c r="D3" s="191"/>
      <c r="E3" s="191"/>
      <c r="F3" s="191"/>
      <c r="G3" s="191"/>
      <c r="H3" s="191"/>
      <c r="I3" s="191"/>
    </row>
    <row r="4" spans="1:9" ht="17.5" customHeight="1" x14ac:dyDescent="0.35">
      <c r="A4" s="115" t="s">
        <v>230</v>
      </c>
      <c r="B4" s="114"/>
      <c r="C4" s="114"/>
      <c r="D4" s="114"/>
      <c r="E4" s="114"/>
      <c r="F4" s="114"/>
      <c r="G4" s="114"/>
      <c r="H4" s="114"/>
      <c r="I4" s="114"/>
    </row>
    <row r="5" spans="1:9" ht="105.75" customHeight="1" x14ac:dyDescent="0.35">
      <c r="A5" s="195" t="s">
        <v>231</v>
      </c>
      <c r="B5" s="195"/>
      <c r="C5" s="195"/>
      <c r="D5" s="195"/>
      <c r="E5" s="195"/>
      <c r="F5" s="195"/>
      <c r="G5" s="195"/>
      <c r="H5" s="195"/>
      <c r="I5" s="195"/>
    </row>
    <row r="6" spans="1:9" ht="15.5" x14ac:dyDescent="0.35">
      <c r="A6" s="4" t="s">
        <v>96</v>
      </c>
      <c r="B6" s="5"/>
      <c r="C6" s="5"/>
      <c r="D6" s="5"/>
      <c r="E6" s="5"/>
      <c r="F6" s="5"/>
      <c r="G6" s="5"/>
      <c r="H6" s="5"/>
      <c r="I6" s="6"/>
    </row>
    <row r="7" spans="1:9" x14ac:dyDescent="0.35">
      <c r="A7" s="185" t="s">
        <v>266</v>
      </c>
      <c r="B7" s="185"/>
      <c r="C7" s="185"/>
      <c r="D7" s="185"/>
      <c r="E7" s="185"/>
      <c r="F7" s="185"/>
      <c r="G7" s="185"/>
      <c r="H7" s="185"/>
      <c r="I7" s="185"/>
    </row>
    <row r="8" spans="1:9" x14ac:dyDescent="0.35">
      <c r="A8" s="185"/>
      <c r="B8" s="185"/>
      <c r="C8" s="185"/>
      <c r="D8" s="185"/>
      <c r="E8" s="185"/>
      <c r="F8" s="185"/>
      <c r="G8" s="185"/>
      <c r="H8" s="185"/>
      <c r="I8" s="185"/>
    </row>
    <row r="9" spans="1:9" ht="15" customHeight="1" x14ac:dyDescent="0.35">
      <c r="A9" s="185"/>
      <c r="B9" s="185"/>
      <c r="C9" s="185"/>
      <c r="D9" s="185"/>
      <c r="E9" s="185"/>
      <c r="F9" s="185"/>
      <c r="G9" s="185"/>
      <c r="H9" s="185"/>
      <c r="I9" s="185"/>
    </row>
    <row r="10" spans="1:9" x14ac:dyDescent="0.35">
      <c r="A10" s="185"/>
      <c r="B10" s="185"/>
      <c r="C10" s="185"/>
      <c r="D10" s="185"/>
      <c r="E10" s="185"/>
      <c r="F10" s="185"/>
      <c r="G10" s="185"/>
      <c r="H10" s="185"/>
      <c r="I10" s="185"/>
    </row>
    <row r="11" spans="1:9" ht="40.25" customHeight="1" x14ac:dyDescent="0.35">
      <c r="A11" s="185"/>
      <c r="B11" s="185"/>
      <c r="C11" s="185"/>
      <c r="D11" s="185"/>
      <c r="E11" s="185"/>
      <c r="F11" s="185"/>
      <c r="G11" s="185"/>
      <c r="H11" s="185"/>
      <c r="I11" s="185"/>
    </row>
    <row r="12" spans="1:9" ht="69.75" customHeight="1" x14ac:dyDescent="0.35">
      <c r="A12" s="185" t="s">
        <v>267</v>
      </c>
      <c r="B12" s="185"/>
      <c r="C12" s="185"/>
      <c r="D12" s="185"/>
      <c r="E12" s="185"/>
      <c r="F12" s="185"/>
      <c r="G12" s="185"/>
      <c r="H12" s="185"/>
      <c r="I12" s="185"/>
    </row>
    <row r="13" spans="1:9" ht="15.5" x14ac:dyDescent="0.35">
      <c r="A13" s="37" t="s">
        <v>190</v>
      </c>
      <c r="B13" s="8"/>
      <c r="C13" s="8"/>
      <c r="D13" s="8"/>
      <c r="E13" s="8"/>
      <c r="F13" s="8"/>
      <c r="G13" s="8"/>
      <c r="H13" s="8"/>
      <c r="I13" s="9"/>
    </row>
    <row r="14" spans="1:9" x14ac:dyDescent="0.35">
      <c r="A14" s="38" t="s">
        <v>183</v>
      </c>
      <c r="B14" s="8"/>
      <c r="C14" s="8"/>
      <c r="D14" s="8"/>
      <c r="E14" s="8"/>
      <c r="F14" s="8"/>
      <c r="G14" s="8"/>
      <c r="H14" s="8"/>
      <c r="I14" s="9"/>
    </row>
    <row r="15" spans="1:9" x14ac:dyDescent="0.35">
      <c r="A15" s="7" t="s">
        <v>99</v>
      </c>
      <c r="B15" s="8" t="s">
        <v>184</v>
      </c>
      <c r="C15" s="8"/>
      <c r="D15" s="8"/>
      <c r="E15" s="8"/>
      <c r="F15" s="8"/>
      <c r="G15" s="8"/>
      <c r="H15" s="8"/>
      <c r="I15" s="9"/>
    </row>
    <row r="16" spans="1:9" ht="20.5" customHeight="1" x14ac:dyDescent="0.35">
      <c r="A16" s="37"/>
      <c r="B16" s="8" t="s">
        <v>185</v>
      </c>
      <c r="C16" s="8"/>
      <c r="D16" s="8"/>
      <c r="E16" s="8"/>
      <c r="F16" s="8"/>
      <c r="G16" s="8"/>
      <c r="H16" s="8"/>
      <c r="I16" s="9"/>
    </row>
    <row r="17" spans="1:14" x14ac:dyDescent="0.35">
      <c r="A17" s="7" t="s">
        <v>99</v>
      </c>
      <c r="B17" s="185" t="s">
        <v>268</v>
      </c>
      <c r="C17" s="185"/>
      <c r="D17" s="185"/>
      <c r="E17" s="185"/>
      <c r="F17" s="185"/>
      <c r="G17" s="185"/>
      <c r="H17" s="185"/>
      <c r="I17" s="185"/>
    </row>
    <row r="18" spans="1:14" x14ac:dyDescent="0.35">
      <c r="A18" s="8"/>
      <c r="B18" s="185"/>
      <c r="C18" s="185"/>
      <c r="D18" s="185"/>
      <c r="E18" s="185"/>
      <c r="F18" s="185"/>
      <c r="G18" s="185"/>
      <c r="H18" s="185"/>
      <c r="I18" s="185"/>
    </row>
    <row r="19" spans="1:14" ht="15" customHeight="1" x14ac:dyDescent="0.35">
      <c r="A19" s="8"/>
      <c r="B19" s="185"/>
      <c r="C19" s="185"/>
      <c r="D19" s="185"/>
      <c r="E19" s="185"/>
      <c r="F19" s="185"/>
      <c r="G19" s="185"/>
      <c r="H19" s="185"/>
      <c r="I19" s="185"/>
    </row>
    <row r="20" spans="1:14" ht="15" customHeight="1" x14ac:dyDescent="0.35">
      <c r="A20" s="8"/>
      <c r="B20" s="185"/>
      <c r="C20" s="185"/>
      <c r="D20" s="185"/>
      <c r="E20" s="185"/>
      <c r="F20" s="185"/>
      <c r="G20" s="185"/>
      <c r="H20" s="185"/>
      <c r="I20" s="185"/>
    </row>
    <row r="21" spans="1:14" ht="31.75" customHeight="1" x14ac:dyDescent="0.35">
      <c r="A21" s="8"/>
      <c r="B21" s="185"/>
      <c r="C21" s="185"/>
      <c r="D21" s="185"/>
      <c r="E21" s="185"/>
      <c r="F21" s="185"/>
      <c r="G21" s="185"/>
      <c r="H21" s="185"/>
      <c r="I21" s="185"/>
    </row>
    <row r="22" spans="1:14" ht="63.5" customHeight="1" x14ac:dyDescent="0.35">
      <c r="A22" s="7" t="s">
        <v>99</v>
      </c>
      <c r="B22" s="185" t="s">
        <v>269</v>
      </c>
      <c r="C22" s="185"/>
      <c r="D22" s="185"/>
      <c r="E22" s="185"/>
      <c r="F22" s="185"/>
      <c r="G22" s="185"/>
      <c r="H22" s="185"/>
      <c r="I22" s="185"/>
    </row>
    <row r="23" spans="1:14" ht="15" customHeight="1" x14ac:dyDescent="0.35">
      <c r="A23" s="38" t="s">
        <v>201</v>
      </c>
      <c r="B23" s="8"/>
      <c r="C23" s="8"/>
      <c r="D23" s="8"/>
      <c r="E23" s="8"/>
      <c r="F23" s="8"/>
      <c r="G23" s="8"/>
      <c r="H23" s="8"/>
      <c r="I23" s="9"/>
    </row>
    <row r="24" spans="1:14" ht="15" customHeight="1" x14ac:dyDescent="0.35">
      <c r="A24" s="16" t="s">
        <v>99</v>
      </c>
      <c r="B24" s="185" t="s">
        <v>189</v>
      </c>
      <c r="C24" s="185"/>
      <c r="D24" s="185"/>
      <c r="E24" s="185"/>
      <c r="F24" s="185"/>
      <c r="G24" s="185"/>
      <c r="H24" s="185"/>
      <c r="I24" s="185"/>
    </row>
    <row r="25" spans="1:14" ht="32.5" customHeight="1" x14ac:dyDescent="0.35">
      <c r="A25" s="16"/>
      <c r="B25" s="185"/>
      <c r="C25" s="185"/>
      <c r="D25" s="185"/>
      <c r="E25" s="185"/>
      <c r="F25" s="185"/>
      <c r="G25" s="185"/>
      <c r="H25" s="185"/>
      <c r="I25" s="185"/>
    </row>
    <row r="26" spans="1:14" ht="61.75" customHeight="1" x14ac:dyDescent="0.35">
      <c r="A26" s="16" t="s">
        <v>99</v>
      </c>
      <c r="B26" s="193" t="s">
        <v>226</v>
      </c>
      <c r="C26" s="194"/>
      <c r="D26" s="194"/>
      <c r="E26" s="194"/>
      <c r="F26" s="194"/>
      <c r="G26" s="194"/>
      <c r="H26" s="194"/>
      <c r="I26" s="194"/>
    </row>
    <row r="27" spans="1:14" ht="15" customHeight="1" x14ac:dyDescent="0.35">
      <c r="A27" s="16" t="s">
        <v>99</v>
      </c>
      <c r="B27" s="185" t="s">
        <v>188</v>
      </c>
      <c r="C27" s="185"/>
      <c r="D27" s="185"/>
      <c r="E27" s="185"/>
      <c r="F27" s="185"/>
      <c r="G27" s="185"/>
      <c r="H27" s="185"/>
      <c r="I27" s="185"/>
    </row>
    <row r="28" spans="1:14" ht="15" customHeight="1" x14ac:dyDescent="0.35">
      <c r="A28" s="16"/>
      <c r="B28" s="185"/>
      <c r="C28" s="185"/>
      <c r="D28" s="185"/>
      <c r="E28" s="185"/>
      <c r="F28" s="185"/>
      <c r="G28" s="185"/>
      <c r="H28" s="185"/>
      <c r="I28" s="185"/>
    </row>
    <row r="29" spans="1:14" ht="15" customHeight="1" x14ac:dyDescent="0.35">
      <c r="A29" s="16"/>
      <c r="B29" s="185"/>
      <c r="C29" s="185"/>
      <c r="D29" s="185"/>
      <c r="E29" s="185"/>
      <c r="F29" s="185"/>
      <c r="G29" s="185"/>
      <c r="H29" s="185"/>
      <c r="I29" s="185"/>
    </row>
    <row r="30" spans="1:14" ht="15" customHeight="1" x14ac:dyDescent="0.35">
      <c r="A30" s="16"/>
      <c r="B30" s="185"/>
      <c r="C30" s="185"/>
      <c r="D30" s="185"/>
      <c r="E30" s="185"/>
      <c r="F30" s="185"/>
      <c r="G30" s="185"/>
      <c r="H30" s="185"/>
      <c r="I30" s="185"/>
    </row>
    <row r="31" spans="1:14" ht="15" customHeight="1" x14ac:dyDescent="0.35">
      <c r="A31" s="16"/>
      <c r="B31" s="185"/>
      <c r="C31" s="185"/>
      <c r="D31" s="185"/>
      <c r="E31" s="185"/>
      <c r="F31" s="185"/>
      <c r="G31" s="185"/>
      <c r="H31" s="185"/>
      <c r="I31" s="185"/>
    </row>
    <row r="32" spans="1:14" x14ac:dyDescent="0.35">
      <c r="A32" s="16"/>
      <c r="B32" s="185"/>
      <c r="C32" s="185"/>
      <c r="D32" s="185"/>
      <c r="E32" s="185"/>
      <c r="F32" s="185"/>
      <c r="G32" s="185"/>
      <c r="H32" s="185"/>
      <c r="I32" s="185"/>
      <c r="J32" s="1"/>
      <c r="K32" s="1"/>
      <c r="L32" s="1"/>
      <c r="M32" s="1"/>
      <c r="N32" s="1"/>
    </row>
    <row r="33" spans="1:14" x14ac:dyDescent="0.35">
      <c r="A33" s="16"/>
      <c r="B33" s="185"/>
      <c r="C33" s="185"/>
      <c r="D33" s="185"/>
      <c r="E33" s="185"/>
      <c r="F33" s="185"/>
      <c r="G33" s="185"/>
      <c r="H33" s="185"/>
      <c r="I33" s="185"/>
      <c r="J33" s="1"/>
      <c r="K33" s="1"/>
      <c r="L33" s="1"/>
      <c r="M33" s="1"/>
      <c r="N33" s="1"/>
    </row>
    <row r="34" spans="1:14" x14ac:dyDescent="0.35">
      <c r="A34" s="16"/>
      <c r="B34" s="185"/>
      <c r="C34" s="185"/>
      <c r="D34" s="185"/>
      <c r="E34" s="185"/>
      <c r="F34" s="185"/>
      <c r="G34" s="185"/>
      <c r="H34" s="185"/>
      <c r="I34" s="185"/>
      <c r="J34" s="1"/>
      <c r="K34" s="1"/>
      <c r="L34" s="1"/>
      <c r="M34" s="1"/>
      <c r="N34" s="1"/>
    </row>
    <row r="35" spans="1:14" x14ac:dyDescent="0.35">
      <c r="A35" s="16"/>
      <c r="B35" s="34" t="s">
        <v>100</v>
      </c>
      <c r="C35" s="185" t="s">
        <v>187</v>
      </c>
      <c r="D35" s="185"/>
      <c r="E35" s="185"/>
      <c r="F35" s="185"/>
      <c r="G35" s="185"/>
      <c r="H35" s="185"/>
      <c r="I35" s="185"/>
      <c r="J35" s="1"/>
      <c r="K35" s="1"/>
      <c r="L35" s="1"/>
      <c r="M35" s="1"/>
      <c r="N35" s="1"/>
    </row>
    <row r="36" spans="1:14" x14ac:dyDescent="0.35">
      <c r="A36" s="16"/>
      <c r="B36" s="9"/>
      <c r="C36" s="185"/>
      <c r="D36" s="185"/>
      <c r="E36" s="185"/>
      <c r="F36" s="185"/>
      <c r="G36" s="185"/>
      <c r="H36" s="185"/>
      <c r="I36" s="185"/>
      <c r="J36" s="1"/>
      <c r="K36" s="1"/>
      <c r="L36" s="1"/>
      <c r="M36" s="1"/>
      <c r="N36" s="1"/>
    </row>
    <row r="37" spans="1:14" x14ac:dyDescent="0.35">
      <c r="A37" s="16"/>
      <c r="B37" s="9"/>
      <c r="C37" s="185"/>
      <c r="D37" s="185"/>
      <c r="E37" s="185"/>
      <c r="F37" s="185"/>
      <c r="G37" s="185"/>
      <c r="H37" s="185"/>
      <c r="I37" s="185"/>
      <c r="J37" s="1"/>
      <c r="K37" s="1"/>
      <c r="L37" s="1"/>
      <c r="M37" s="1"/>
      <c r="N37" s="1"/>
    </row>
    <row r="38" spans="1:14" x14ac:dyDescent="0.35">
      <c r="A38" s="16"/>
      <c r="B38" s="9"/>
      <c r="C38" s="185"/>
      <c r="D38" s="185"/>
      <c r="E38" s="185"/>
      <c r="F38" s="185"/>
      <c r="G38" s="185"/>
      <c r="H38" s="185"/>
      <c r="I38" s="185"/>
      <c r="J38" s="1"/>
      <c r="K38" s="1"/>
      <c r="L38" s="1"/>
      <c r="M38" s="1"/>
      <c r="N38" s="1"/>
    </row>
    <row r="39" spans="1:14" x14ac:dyDescent="0.35">
      <c r="A39" s="16"/>
      <c r="B39" s="9"/>
      <c r="C39" s="185"/>
      <c r="D39" s="185"/>
      <c r="E39" s="185"/>
      <c r="F39" s="185"/>
      <c r="G39" s="185"/>
      <c r="H39" s="185"/>
      <c r="I39" s="185"/>
      <c r="J39" s="1"/>
      <c r="K39" s="1"/>
      <c r="L39" s="1"/>
      <c r="M39" s="1"/>
      <c r="N39" s="1"/>
    </row>
    <row r="40" spans="1:14" x14ac:dyDescent="0.35">
      <c r="A40" s="16"/>
      <c r="B40" s="34" t="s">
        <v>100</v>
      </c>
      <c r="C40" s="185" t="s">
        <v>107</v>
      </c>
      <c r="D40" s="185"/>
      <c r="E40" s="185"/>
      <c r="F40" s="185"/>
      <c r="G40" s="185"/>
      <c r="H40" s="185"/>
      <c r="I40" s="185"/>
      <c r="J40" s="1"/>
      <c r="K40" s="1"/>
      <c r="L40" s="1"/>
      <c r="M40" s="1"/>
      <c r="N40" s="1"/>
    </row>
    <row r="41" spans="1:14" x14ac:dyDescent="0.35">
      <c r="A41" s="16"/>
      <c r="B41" s="9"/>
      <c r="C41" s="185"/>
      <c r="D41" s="185"/>
      <c r="E41" s="185"/>
      <c r="F41" s="185"/>
      <c r="G41" s="185"/>
      <c r="H41" s="185"/>
      <c r="I41" s="185"/>
      <c r="J41" s="1"/>
      <c r="K41" s="1"/>
      <c r="L41" s="1"/>
      <c r="M41" s="1"/>
      <c r="N41" s="1"/>
    </row>
    <row r="42" spans="1:14" x14ac:dyDescent="0.35">
      <c r="A42" s="16"/>
      <c r="B42" s="9"/>
      <c r="C42" s="185"/>
      <c r="D42" s="185"/>
      <c r="E42" s="185"/>
      <c r="F42" s="185"/>
      <c r="G42" s="185"/>
      <c r="H42" s="185"/>
      <c r="I42" s="185"/>
      <c r="J42" s="1"/>
      <c r="K42" s="1"/>
      <c r="L42" s="1"/>
      <c r="M42" s="1"/>
      <c r="N42" s="1"/>
    </row>
    <row r="43" spans="1:14" x14ac:dyDescent="0.35">
      <c r="A43" s="16"/>
      <c r="B43" s="9"/>
      <c r="C43" s="185"/>
      <c r="D43" s="185"/>
      <c r="E43" s="185"/>
      <c r="F43" s="185"/>
      <c r="G43" s="185"/>
      <c r="H43" s="185"/>
      <c r="I43" s="185"/>
      <c r="J43" s="1"/>
      <c r="K43" s="1"/>
      <c r="L43" s="1"/>
      <c r="M43" s="1"/>
      <c r="N43" s="1"/>
    </row>
    <row r="44" spans="1:14" x14ac:dyDescent="0.35">
      <c r="A44" s="16"/>
      <c r="B44" s="9"/>
      <c r="C44" s="185"/>
      <c r="D44" s="185"/>
      <c r="E44" s="185"/>
      <c r="F44" s="185"/>
      <c r="G44" s="185"/>
      <c r="H44" s="185"/>
      <c r="I44" s="185"/>
      <c r="J44" s="1"/>
      <c r="K44" s="1"/>
      <c r="L44" s="1"/>
      <c r="M44" s="1"/>
      <c r="N44" s="1"/>
    </row>
    <row r="45" spans="1:14" x14ac:dyDescent="0.35">
      <c r="A45" s="16"/>
      <c r="B45" s="9"/>
      <c r="C45" s="185"/>
      <c r="D45" s="185"/>
      <c r="E45" s="185"/>
      <c r="F45" s="185"/>
      <c r="G45" s="185"/>
      <c r="H45" s="185"/>
      <c r="I45" s="185"/>
      <c r="J45" s="1"/>
      <c r="K45" s="1"/>
      <c r="L45" s="1"/>
      <c r="M45" s="1"/>
      <c r="N45" s="1"/>
    </row>
    <row r="46" spans="1:14" x14ac:dyDescent="0.35">
      <c r="A46" s="16"/>
      <c r="B46" s="9"/>
      <c r="C46" s="185"/>
      <c r="D46" s="185"/>
      <c r="E46" s="185"/>
      <c r="F46" s="185"/>
      <c r="G46" s="185"/>
      <c r="H46" s="185"/>
      <c r="I46" s="185"/>
      <c r="J46" s="1"/>
      <c r="K46" s="1"/>
      <c r="L46" s="1"/>
      <c r="M46" s="1"/>
      <c r="N46" s="1"/>
    </row>
    <row r="47" spans="1:14" x14ac:dyDescent="0.35">
      <c r="A47" s="16"/>
      <c r="B47" s="9"/>
      <c r="C47" s="185"/>
      <c r="D47" s="185"/>
      <c r="E47" s="185"/>
      <c r="F47" s="185"/>
      <c r="G47" s="185"/>
      <c r="H47" s="185"/>
      <c r="I47" s="185"/>
      <c r="J47" s="1"/>
      <c r="K47" s="1"/>
      <c r="L47" s="1"/>
      <c r="M47" s="1"/>
      <c r="N47" s="1"/>
    </row>
    <row r="48" spans="1:14" ht="29.5" customHeight="1" x14ac:dyDescent="0.35">
      <c r="A48" s="16"/>
      <c r="B48" s="34" t="s">
        <v>100</v>
      </c>
      <c r="C48" s="188" t="s">
        <v>193</v>
      </c>
      <c r="D48" s="188"/>
      <c r="E48" s="188"/>
      <c r="F48" s="188"/>
      <c r="G48" s="188"/>
      <c r="H48" s="188"/>
      <c r="I48" s="188"/>
      <c r="J48" s="1"/>
      <c r="K48" s="1"/>
      <c r="L48" s="1"/>
      <c r="M48" s="1"/>
      <c r="N48" s="1"/>
    </row>
    <row r="49" spans="1:14" x14ac:dyDescent="0.35">
      <c r="A49" s="16" t="s">
        <v>99</v>
      </c>
      <c r="B49" s="185" t="s">
        <v>270</v>
      </c>
      <c r="C49" s="185"/>
      <c r="D49" s="185"/>
      <c r="E49" s="185"/>
      <c r="F49" s="185"/>
      <c r="G49" s="185"/>
      <c r="H49" s="185"/>
      <c r="I49" s="185"/>
      <c r="J49" s="1"/>
      <c r="K49" s="1"/>
      <c r="L49" s="1"/>
      <c r="M49" s="1"/>
      <c r="N49" s="1"/>
    </row>
    <row r="50" spans="1:14" x14ac:dyDescent="0.35">
      <c r="A50" s="16"/>
      <c r="B50" s="185"/>
      <c r="C50" s="185"/>
      <c r="D50" s="185"/>
      <c r="E50" s="185"/>
      <c r="F50" s="185"/>
      <c r="G50" s="185"/>
      <c r="H50" s="185"/>
      <c r="I50" s="185"/>
      <c r="J50" s="1"/>
      <c r="K50" s="1"/>
      <c r="L50" s="1"/>
      <c r="M50" s="1"/>
      <c r="N50" s="1"/>
    </row>
    <row r="51" spans="1:14" x14ac:dyDescent="0.35">
      <c r="A51" s="16"/>
      <c r="B51" s="185"/>
      <c r="C51" s="185"/>
      <c r="D51" s="185"/>
      <c r="E51" s="185"/>
      <c r="F51" s="185"/>
      <c r="G51" s="185"/>
      <c r="H51" s="185"/>
      <c r="I51" s="185"/>
      <c r="J51" s="1"/>
      <c r="K51" s="1"/>
      <c r="L51" s="1"/>
      <c r="M51" s="1"/>
      <c r="N51" s="1"/>
    </row>
    <row r="52" spans="1:14" x14ac:dyDescent="0.35">
      <c r="A52" s="16"/>
      <c r="B52" s="185"/>
      <c r="C52" s="185"/>
      <c r="D52" s="185"/>
      <c r="E52" s="185"/>
      <c r="F52" s="185"/>
      <c r="G52" s="185"/>
      <c r="H52" s="185"/>
      <c r="I52" s="185"/>
      <c r="J52" s="1"/>
    </row>
    <row r="53" spans="1:14" ht="19.25" customHeight="1" x14ac:dyDescent="0.35">
      <c r="A53" s="16"/>
      <c r="B53" s="185"/>
      <c r="C53" s="185"/>
      <c r="D53" s="185"/>
      <c r="E53" s="185"/>
      <c r="F53" s="185"/>
      <c r="G53" s="185"/>
      <c r="H53" s="185"/>
      <c r="I53" s="185"/>
      <c r="J53" s="1"/>
    </row>
    <row r="54" spans="1:14" x14ac:dyDescent="0.35">
      <c r="A54" s="16" t="s">
        <v>99</v>
      </c>
      <c r="B54" s="185" t="s">
        <v>191</v>
      </c>
      <c r="C54" s="185"/>
      <c r="D54" s="185"/>
      <c r="E54" s="185"/>
      <c r="F54" s="185"/>
      <c r="G54" s="185"/>
      <c r="H54" s="185"/>
      <c r="I54" s="185"/>
      <c r="J54" s="1"/>
      <c r="K54" s="1"/>
      <c r="L54" s="1"/>
      <c r="M54" s="1"/>
      <c r="N54" s="1"/>
    </row>
    <row r="55" spans="1:14" ht="63.75" customHeight="1" x14ac:dyDescent="0.35">
      <c r="A55" s="39"/>
      <c r="B55" s="185"/>
      <c r="C55" s="185"/>
      <c r="D55" s="185"/>
      <c r="E55" s="185"/>
      <c r="F55" s="185"/>
      <c r="G55" s="185"/>
      <c r="H55" s="185"/>
      <c r="I55" s="185"/>
      <c r="J55" s="1"/>
      <c r="K55" s="1"/>
      <c r="L55" s="1"/>
      <c r="M55" s="1"/>
      <c r="N55" s="1"/>
    </row>
    <row r="56" spans="1:14" ht="58.75" customHeight="1" x14ac:dyDescent="0.35">
      <c r="A56" s="16" t="s">
        <v>99</v>
      </c>
      <c r="B56" s="188" t="s">
        <v>271</v>
      </c>
      <c r="C56" s="188"/>
      <c r="D56" s="188"/>
      <c r="E56" s="188"/>
      <c r="F56" s="188"/>
      <c r="G56" s="188"/>
      <c r="H56" s="188"/>
      <c r="I56" s="188"/>
      <c r="J56" s="1"/>
      <c r="K56" s="1"/>
      <c r="L56" s="1"/>
      <c r="M56" s="1"/>
      <c r="N56" s="1"/>
    </row>
    <row r="57" spans="1:14" ht="9.75" customHeight="1" x14ac:dyDescent="0.35">
      <c r="A57" s="39"/>
      <c r="B57" s="8"/>
      <c r="C57" s="8"/>
      <c r="D57" s="8"/>
      <c r="E57" s="8"/>
      <c r="F57" s="8"/>
      <c r="G57" s="8"/>
      <c r="H57" s="8"/>
      <c r="I57" s="9"/>
      <c r="J57" s="1"/>
      <c r="K57" s="1"/>
      <c r="L57" s="1"/>
      <c r="M57" s="1"/>
      <c r="N57" s="1"/>
    </row>
    <row r="58" spans="1:14" x14ac:dyDescent="0.35">
      <c r="A58" s="40" t="s">
        <v>202</v>
      </c>
      <c r="B58" s="8"/>
      <c r="C58" s="8"/>
      <c r="D58" s="8"/>
      <c r="E58" s="8"/>
      <c r="F58" s="8"/>
      <c r="G58" s="8"/>
      <c r="H58" s="8"/>
      <c r="I58" s="9"/>
      <c r="J58" s="1"/>
      <c r="K58" s="1"/>
      <c r="L58" s="1"/>
      <c r="M58" s="1"/>
      <c r="N58" s="1"/>
    </row>
    <row r="59" spans="1:14" x14ac:dyDescent="0.35">
      <c r="A59" s="36" t="s">
        <v>198</v>
      </c>
      <c r="B59" s="8"/>
      <c r="C59" s="8"/>
      <c r="D59" s="8"/>
      <c r="E59" s="8"/>
      <c r="F59" s="8"/>
      <c r="G59" s="8"/>
      <c r="H59" s="8"/>
      <c r="I59" s="9"/>
      <c r="J59" s="1"/>
      <c r="K59" s="1"/>
      <c r="L59" s="1"/>
      <c r="M59" s="1"/>
      <c r="N59" s="1"/>
    </row>
    <row r="60" spans="1:14" ht="14.5" customHeight="1" x14ac:dyDescent="0.35">
      <c r="A60" s="16" t="s">
        <v>99</v>
      </c>
      <c r="B60" s="186" t="s">
        <v>272</v>
      </c>
      <c r="C60" s="186"/>
      <c r="D60" s="186"/>
      <c r="E60" s="186"/>
      <c r="F60" s="186"/>
      <c r="G60" s="186"/>
      <c r="H60" s="186"/>
      <c r="I60" s="186"/>
      <c r="J60" s="2"/>
    </row>
    <row r="61" spans="1:14" x14ac:dyDescent="0.35">
      <c r="A61" s="16"/>
      <c r="B61" s="186"/>
      <c r="C61" s="186"/>
      <c r="D61" s="186"/>
      <c r="E61" s="186"/>
      <c r="F61" s="186"/>
      <c r="G61" s="186"/>
      <c r="H61" s="186"/>
      <c r="I61" s="186"/>
      <c r="J61" s="2"/>
    </row>
    <row r="62" spans="1:14" ht="62.5" customHeight="1" x14ac:dyDescent="0.35">
      <c r="A62" s="16"/>
      <c r="B62" s="186"/>
      <c r="C62" s="186"/>
      <c r="D62" s="186"/>
      <c r="E62" s="186"/>
      <c r="F62" s="186"/>
      <c r="G62" s="186"/>
      <c r="H62" s="186"/>
      <c r="I62" s="186"/>
      <c r="J62" s="2"/>
    </row>
    <row r="63" spans="1:14" ht="63.5" customHeight="1" x14ac:dyDescent="0.35">
      <c r="A63" s="16"/>
      <c r="B63" s="186"/>
      <c r="C63" s="186"/>
      <c r="D63" s="186"/>
      <c r="E63" s="186"/>
      <c r="F63" s="186"/>
      <c r="G63" s="186"/>
      <c r="H63" s="186"/>
      <c r="I63" s="186"/>
      <c r="J63" s="2"/>
    </row>
    <row r="64" spans="1:14" ht="72.5" customHeight="1" x14ac:dyDescent="0.35">
      <c r="A64" s="16" t="s">
        <v>99</v>
      </c>
      <c r="B64" s="186" t="s">
        <v>273</v>
      </c>
      <c r="C64" s="186"/>
      <c r="D64" s="186"/>
      <c r="E64" s="186"/>
      <c r="F64" s="186"/>
      <c r="G64" s="186"/>
      <c r="H64" s="186"/>
      <c r="I64" s="186"/>
      <c r="J64" s="2"/>
    </row>
    <row r="65" spans="1:10" ht="13.5" customHeight="1" x14ac:dyDescent="0.35">
      <c r="A65" s="16"/>
      <c r="B65" s="186"/>
      <c r="C65" s="186"/>
      <c r="D65" s="186"/>
      <c r="E65" s="186"/>
      <c r="F65" s="186"/>
      <c r="G65" s="186"/>
      <c r="H65" s="186"/>
      <c r="I65" s="186"/>
      <c r="J65" s="2"/>
    </row>
    <row r="66" spans="1:10" ht="10.5" customHeight="1" x14ac:dyDescent="0.35">
      <c r="A66" s="16"/>
      <c r="B66" s="186"/>
      <c r="C66" s="186"/>
      <c r="D66" s="186"/>
      <c r="E66" s="186"/>
      <c r="F66" s="186"/>
      <c r="G66" s="186"/>
      <c r="H66" s="186"/>
      <c r="I66" s="186"/>
      <c r="J66" s="2"/>
    </row>
    <row r="67" spans="1:10" ht="42.5" customHeight="1" x14ac:dyDescent="0.35">
      <c r="A67" s="16" t="s">
        <v>99</v>
      </c>
      <c r="B67" s="186" t="s">
        <v>274</v>
      </c>
      <c r="C67" s="186"/>
      <c r="D67" s="186"/>
      <c r="E67" s="186"/>
      <c r="F67" s="186"/>
      <c r="G67" s="186"/>
      <c r="H67" s="186"/>
      <c r="I67" s="186"/>
      <c r="J67" s="2"/>
    </row>
    <row r="68" spans="1:10" ht="12.5" customHeight="1" x14ac:dyDescent="0.35">
      <c r="A68" s="16"/>
      <c r="B68" s="186"/>
      <c r="C68" s="186"/>
      <c r="D68" s="186"/>
      <c r="E68" s="186"/>
      <c r="F68" s="186"/>
      <c r="G68" s="186"/>
      <c r="H68" s="186"/>
      <c r="I68" s="186"/>
      <c r="J68" s="2"/>
    </row>
    <row r="69" spans="1:10" ht="10" customHeight="1" x14ac:dyDescent="0.35">
      <c r="A69" s="16"/>
      <c r="B69" s="186"/>
      <c r="C69" s="186"/>
      <c r="D69" s="186"/>
      <c r="E69" s="186"/>
      <c r="F69" s="186"/>
      <c r="G69" s="186"/>
      <c r="H69" s="186"/>
      <c r="I69" s="186"/>
      <c r="J69" s="2"/>
    </row>
    <row r="70" spans="1:10" ht="62.5" customHeight="1" x14ac:dyDescent="0.35">
      <c r="A70" s="16" t="s">
        <v>99</v>
      </c>
      <c r="B70" s="186" t="s">
        <v>275</v>
      </c>
      <c r="C70" s="186"/>
      <c r="D70" s="186"/>
      <c r="E70" s="186"/>
      <c r="F70" s="186"/>
      <c r="G70" s="186"/>
      <c r="H70" s="186"/>
      <c r="I70" s="186"/>
      <c r="J70" s="2"/>
    </row>
    <row r="71" spans="1:10" ht="70.75" customHeight="1" x14ac:dyDescent="0.35">
      <c r="A71" s="16"/>
      <c r="B71" s="186"/>
      <c r="C71" s="186"/>
      <c r="D71" s="186"/>
      <c r="E71" s="186"/>
      <c r="F71" s="186"/>
      <c r="G71" s="186"/>
      <c r="H71" s="186"/>
      <c r="I71" s="186"/>
      <c r="J71" s="2"/>
    </row>
    <row r="72" spans="1:10" ht="70.75" customHeight="1" x14ac:dyDescent="0.35">
      <c r="A72" s="16" t="s">
        <v>99</v>
      </c>
      <c r="B72" s="186" t="s">
        <v>276</v>
      </c>
      <c r="C72" s="186"/>
      <c r="D72" s="186"/>
      <c r="E72" s="186"/>
      <c r="F72" s="186"/>
      <c r="G72" s="186"/>
      <c r="H72" s="186"/>
      <c r="I72" s="186"/>
      <c r="J72" s="2"/>
    </row>
    <row r="73" spans="1:10" ht="49" customHeight="1" x14ac:dyDescent="0.35">
      <c r="A73" s="16"/>
      <c r="B73" s="186"/>
      <c r="C73" s="186"/>
      <c r="D73" s="186"/>
      <c r="E73" s="186"/>
      <c r="F73" s="186"/>
      <c r="G73" s="186"/>
      <c r="H73" s="186"/>
      <c r="I73" s="186"/>
      <c r="J73" s="2"/>
    </row>
    <row r="74" spans="1:10" ht="15" customHeight="1" x14ac:dyDescent="0.35">
      <c r="A74" s="42" t="s">
        <v>200</v>
      </c>
      <c r="B74" s="35"/>
      <c r="C74" s="35"/>
      <c r="D74" s="35"/>
      <c r="E74" s="35"/>
      <c r="F74" s="35"/>
      <c r="G74" s="35"/>
      <c r="H74" s="35"/>
      <c r="I74" s="35"/>
      <c r="J74" s="2"/>
    </row>
    <row r="75" spans="1:10" ht="15" customHeight="1" x14ac:dyDescent="0.35">
      <c r="A75" s="16" t="s">
        <v>99</v>
      </c>
      <c r="B75" s="185" t="s">
        <v>205</v>
      </c>
      <c r="C75" s="185"/>
      <c r="D75" s="185"/>
      <c r="E75" s="185"/>
      <c r="F75" s="185"/>
      <c r="G75" s="185"/>
      <c r="H75" s="185"/>
      <c r="I75" s="185"/>
      <c r="J75" s="2"/>
    </row>
    <row r="76" spans="1:10" ht="15" customHeight="1" x14ac:dyDescent="0.35">
      <c r="A76" s="42"/>
      <c r="B76" s="185"/>
      <c r="C76" s="185"/>
      <c r="D76" s="185"/>
      <c r="E76" s="185"/>
      <c r="F76" s="185"/>
      <c r="G76" s="185"/>
      <c r="H76" s="185"/>
      <c r="I76" s="185"/>
      <c r="J76" s="2"/>
    </row>
    <row r="77" spans="1:10" x14ac:dyDescent="0.35">
      <c r="A77" s="16" t="s">
        <v>99</v>
      </c>
      <c r="B77" s="8" t="s">
        <v>118</v>
      </c>
      <c r="C77" s="8"/>
      <c r="D77" s="8"/>
      <c r="E77" s="8"/>
      <c r="F77" s="8"/>
      <c r="G77" s="8"/>
      <c r="H77" s="8"/>
      <c r="I77" s="8"/>
      <c r="J77" s="2"/>
    </row>
    <row r="78" spans="1:10" x14ac:dyDescent="0.35">
      <c r="A78" s="8"/>
      <c r="B78" s="34" t="s">
        <v>100</v>
      </c>
      <c r="C78" s="185" t="s">
        <v>204</v>
      </c>
      <c r="D78" s="185"/>
      <c r="E78" s="185"/>
      <c r="F78" s="185"/>
      <c r="G78" s="185"/>
      <c r="H78" s="185"/>
      <c r="I78" s="185"/>
      <c r="J78" s="2"/>
    </row>
    <row r="79" spans="1:10" ht="17.5" customHeight="1" x14ac:dyDescent="0.35">
      <c r="A79" s="8"/>
      <c r="B79" s="34"/>
      <c r="C79" s="185"/>
      <c r="D79" s="185"/>
      <c r="E79" s="185"/>
      <c r="F79" s="185"/>
      <c r="G79" s="185"/>
      <c r="H79" s="185"/>
      <c r="I79" s="185"/>
      <c r="J79" s="2"/>
    </row>
    <row r="80" spans="1:10" ht="9.75" customHeight="1" x14ac:dyDescent="0.35">
      <c r="A80" s="8"/>
      <c r="B80" s="187" t="s">
        <v>100</v>
      </c>
      <c r="C80" s="185" t="s">
        <v>242</v>
      </c>
      <c r="D80" s="185"/>
      <c r="E80" s="185"/>
      <c r="F80" s="185"/>
      <c r="G80" s="185"/>
      <c r="H80" s="185"/>
      <c r="I80" s="185"/>
      <c r="J80" s="2"/>
    </row>
    <row r="81" spans="1:10" ht="64.5" customHeight="1" x14ac:dyDescent="0.35">
      <c r="A81" s="8"/>
      <c r="B81" s="187"/>
      <c r="C81" s="185"/>
      <c r="D81" s="185"/>
      <c r="E81" s="185"/>
      <c r="F81" s="185"/>
      <c r="G81" s="185"/>
      <c r="H81" s="185"/>
      <c r="I81" s="185"/>
      <c r="J81" s="2"/>
    </row>
    <row r="82" spans="1:10" ht="15.75" customHeight="1" x14ac:dyDescent="0.35">
      <c r="A82" s="16" t="s">
        <v>99</v>
      </c>
      <c r="B82" s="8" t="s">
        <v>115</v>
      </c>
      <c r="C82" s="35"/>
      <c r="D82" s="35"/>
      <c r="E82" s="35"/>
      <c r="F82" s="35"/>
      <c r="G82" s="35"/>
      <c r="H82" s="35"/>
      <c r="I82" s="35"/>
      <c r="J82" s="2"/>
    </row>
    <row r="83" spans="1:10" ht="15" customHeight="1" x14ac:dyDescent="0.35">
      <c r="A83" s="8"/>
      <c r="B83" s="187" t="s">
        <v>100</v>
      </c>
      <c r="C83" s="185" t="s">
        <v>204</v>
      </c>
      <c r="D83" s="185"/>
      <c r="E83" s="185"/>
      <c r="F83" s="185"/>
      <c r="G83" s="185"/>
      <c r="H83" s="185"/>
      <c r="I83" s="185"/>
      <c r="J83" s="2"/>
    </row>
    <row r="84" spans="1:10" x14ac:dyDescent="0.35">
      <c r="A84" s="8"/>
      <c r="B84" s="187"/>
      <c r="C84" s="185"/>
      <c r="D84" s="185"/>
      <c r="E84" s="185"/>
      <c r="F84" s="185"/>
      <c r="G84" s="185"/>
      <c r="H84" s="185"/>
      <c r="I84" s="185"/>
      <c r="J84" s="2"/>
    </row>
    <row r="85" spans="1:10" ht="58.25" customHeight="1" x14ac:dyDescent="0.35">
      <c r="A85" s="8"/>
      <c r="B85" s="34" t="s">
        <v>100</v>
      </c>
      <c r="C85" s="185" t="s">
        <v>243</v>
      </c>
      <c r="D85" s="185"/>
      <c r="E85" s="185"/>
      <c r="F85" s="185"/>
      <c r="G85" s="185"/>
      <c r="H85" s="185"/>
      <c r="I85" s="185"/>
      <c r="J85" s="2"/>
    </row>
    <row r="86" spans="1:10" ht="16.75" customHeight="1" x14ac:dyDescent="0.35">
      <c r="A86" s="8" t="s">
        <v>253</v>
      </c>
      <c r="B86" s="34"/>
      <c r="C86" s="35"/>
      <c r="D86" s="35"/>
      <c r="E86" s="35"/>
      <c r="F86" s="35"/>
      <c r="G86" s="35"/>
      <c r="H86" s="35"/>
      <c r="I86" s="35"/>
      <c r="J86" s="2"/>
    </row>
    <row r="87" spans="1:10" ht="31.75" customHeight="1" x14ac:dyDescent="0.35">
      <c r="A87" s="16" t="s">
        <v>99</v>
      </c>
      <c r="B87" s="188" t="s">
        <v>254</v>
      </c>
      <c r="C87" s="196"/>
      <c r="D87" s="196"/>
      <c r="E87" s="196"/>
      <c r="F87" s="196"/>
      <c r="G87" s="196"/>
      <c r="H87" s="196"/>
      <c r="I87" s="196"/>
      <c r="J87" s="2"/>
    </row>
    <row r="88" spans="1:10" x14ac:dyDescent="0.35">
      <c r="A88" s="40" t="s">
        <v>203</v>
      </c>
      <c r="B88" s="34"/>
      <c r="C88" s="8"/>
      <c r="D88" s="8"/>
      <c r="E88" s="8"/>
      <c r="F88" s="8"/>
      <c r="G88" s="8"/>
      <c r="H88" s="8"/>
      <c r="I88" s="8"/>
    </row>
    <row r="89" spans="1:10" ht="14.5" customHeight="1" x14ac:dyDescent="0.35">
      <c r="A89" s="16" t="s">
        <v>99</v>
      </c>
      <c r="B89" s="185" t="s">
        <v>277</v>
      </c>
      <c r="C89" s="185"/>
      <c r="D89" s="185"/>
      <c r="E89" s="185"/>
      <c r="F89" s="185"/>
      <c r="G89" s="185"/>
      <c r="H89" s="185"/>
      <c r="I89" s="185"/>
    </row>
    <row r="90" spans="1:10" ht="63" customHeight="1" x14ac:dyDescent="0.35">
      <c r="A90" s="16"/>
      <c r="B90" s="185"/>
      <c r="C90" s="185"/>
      <c r="D90" s="185"/>
      <c r="E90" s="185"/>
      <c r="F90" s="185"/>
      <c r="G90" s="185"/>
      <c r="H90" s="185"/>
      <c r="I90" s="185"/>
    </row>
    <row r="91" spans="1:10" ht="20.5" customHeight="1" x14ac:dyDescent="0.35">
      <c r="A91" s="16" t="s">
        <v>99</v>
      </c>
      <c r="B91" s="199" t="s">
        <v>101</v>
      </c>
      <c r="C91" s="199"/>
      <c r="D91" s="199"/>
      <c r="E91" s="199"/>
      <c r="F91" s="199"/>
      <c r="G91" s="8"/>
      <c r="H91" s="8"/>
      <c r="I91" s="8"/>
    </row>
    <row r="92" spans="1:10" x14ac:dyDescent="0.35">
      <c r="A92" s="16" t="s">
        <v>99</v>
      </c>
      <c r="B92" s="185" t="s">
        <v>199</v>
      </c>
      <c r="C92" s="185"/>
      <c r="D92" s="185"/>
      <c r="E92" s="185"/>
      <c r="F92" s="185"/>
      <c r="G92" s="185"/>
      <c r="H92" s="185"/>
      <c r="I92" s="185"/>
    </row>
    <row r="93" spans="1:10" ht="18.75" customHeight="1" x14ac:dyDescent="0.35">
      <c r="A93" s="16"/>
      <c r="B93" s="185"/>
      <c r="C93" s="185"/>
      <c r="D93" s="185"/>
      <c r="E93" s="185"/>
      <c r="F93" s="185"/>
      <c r="G93" s="185"/>
      <c r="H93" s="185"/>
      <c r="I93" s="185"/>
    </row>
    <row r="94" spans="1:10" x14ac:dyDescent="0.35">
      <c r="A94" s="16" t="s">
        <v>99</v>
      </c>
      <c r="B94" s="188" t="s">
        <v>208</v>
      </c>
      <c r="C94" s="185"/>
      <c r="D94" s="185"/>
      <c r="E94" s="185"/>
      <c r="F94" s="185"/>
      <c r="G94" s="185"/>
      <c r="H94" s="185"/>
      <c r="I94" s="185"/>
    </row>
    <row r="95" spans="1:10" ht="36" customHeight="1" x14ac:dyDescent="0.35">
      <c r="A95" s="39"/>
      <c r="B95" s="185"/>
      <c r="C95" s="185"/>
      <c r="D95" s="185"/>
      <c r="E95" s="185"/>
      <c r="F95" s="185"/>
      <c r="G95" s="185"/>
      <c r="H95" s="185"/>
      <c r="I95" s="185"/>
    </row>
    <row r="96" spans="1:10" ht="60.75" customHeight="1" x14ac:dyDescent="0.35">
      <c r="A96" s="16" t="s">
        <v>99</v>
      </c>
      <c r="B96" s="185" t="s">
        <v>207</v>
      </c>
      <c r="C96" s="185"/>
      <c r="D96" s="185"/>
      <c r="E96" s="185"/>
      <c r="F96" s="185"/>
      <c r="G96" s="185"/>
      <c r="H96" s="185"/>
      <c r="I96" s="185"/>
    </row>
    <row r="97" spans="1:9" ht="47" customHeight="1" x14ac:dyDescent="0.35">
      <c r="A97" s="16" t="s">
        <v>99</v>
      </c>
      <c r="B97" s="186" t="s">
        <v>278</v>
      </c>
      <c r="C97" s="186"/>
      <c r="D97" s="186"/>
      <c r="E97" s="186"/>
      <c r="F97" s="186"/>
      <c r="G97" s="186"/>
      <c r="H97" s="186"/>
      <c r="I97" s="186"/>
    </row>
    <row r="98" spans="1:9" ht="49.25" customHeight="1" x14ac:dyDescent="0.35">
      <c r="A98" s="16" t="s">
        <v>99</v>
      </c>
      <c r="B98" s="186" t="s">
        <v>279</v>
      </c>
      <c r="C98" s="186"/>
      <c r="D98" s="186"/>
      <c r="E98" s="186"/>
      <c r="F98" s="186"/>
      <c r="G98" s="186"/>
      <c r="H98" s="186"/>
      <c r="I98" s="186"/>
    </row>
    <row r="99" spans="1:9" x14ac:dyDescent="0.35">
      <c r="A99" s="189" t="s">
        <v>257</v>
      </c>
      <c r="B99" s="189"/>
      <c r="C99" s="189"/>
      <c r="D99" s="189"/>
      <c r="E99" s="189"/>
      <c r="F99" s="189"/>
      <c r="G99" s="189"/>
      <c r="H99" s="189"/>
      <c r="I99" s="189"/>
    </row>
    <row r="100" spans="1:9" ht="15" customHeight="1" x14ac:dyDescent="0.35">
      <c r="A100" s="16" t="s">
        <v>99</v>
      </c>
      <c r="B100" s="197" t="s">
        <v>259</v>
      </c>
      <c r="C100" s="197"/>
      <c r="D100" s="197"/>
      <c r="E100" s="197"/>
      <c r="F100" s="197"/>
      <c r="G100" s="197"/>
      <c r="H100" s="197"/>
      <c r="I100" s="197"/>
    </row>
    <row r="101" spans="1:9" ht="48" customHeight="1" x14ac:dyDescent="0.35">
      <c r="A101" s="16"/>
      <c r="B101" s="197"/>
      <c r="C101" s="197"/>
      <c r="D101" s="197"/>
      <c r="E101" s="197"/>
      <c r="F101" s="197"/>
      <c r="G101" s="197"/>
      <c r="H101" s="197"/>
      <c r="I101" s="197"/>
    </row>
    <row r="102" spans="1:9" ht="20.5" customHeight="1" x14ac:dyDescent="0.35">
      <c r="A102" s="16" t="s">
        <v>99</v>
      </c>
      <c r="B102" s="199" t="s">
        <v>211</v>
      </c>
      <c r="C102" s="199"/>
      <c r="D102" s="199"/>
      <c r="E102" s="199"/>
      <c r="F102" s="199"/>
      <c r="G102" s="199"/>
      <c r="H102" s="199"/>
      <c r="I102" s="199"/>
    </row>
    <row r="103" spans="1:9" ht="36" customHeight="1" x14ac:dyDescent="0.35">
      <c r="A103" s="16" t="s">
        <v>99</v>
      </c>
      <c r="B103" s="185" t="s">
        <v>258</v>
      </c>
      <c r="C103" s="185"/>
      <c r="D103" s="185"/>
      <c r="E103" s="185"/>
      <c r="F103" s="185"/>
      <c r="G103" s="185"/>
      <c r="H103" s="185"/>
      <c r="I103" s="185"/>
    </row>
    <row r="104" spans="1:9" x14ac:dyDescent="0.35">
      <c r="A104" s="189" t="s">
        <v>88</v>
      </c>
      <c r="B104" s="189"/>
      <c r="C104" s="8"/>
      <c r="D104" s="8"/>
      <c r="E104" s="8"/>
      <c r="F104" s="8"/>
      <c r="G104" s="8"/>
      <c r="H104" s="8"/>
      <c r="I104" s="8"/>
    </row>
    <row r="105" spans="1:9" ht="81" customHeight="1" x14ac:dyDescent="0.35">
      <c r="A105" s="16" t="s">
        <v>99</v>
      </c>
      <c r="B105" s="185" t="s">
        <v>261</v>
      </c>
      <c r="C105" s="188"/>
      <c r="D105" s="188"/>
      <c r="E105" s="188"/>
      <c r="F105" s="188"/>
      <c r="G105" s="188"/>
      <c r="H105" s="188"/>
      <c r="I105" s="188"/>
    </row>
    <row r="106" spans="1:9" ht="48" customHeight="1" x14ac:dyDescent="0.35">
      <c r="A106" s="16" t="s">
        <v>99</v>
      </c>
      <c r="B106" s="185" t="s">
        <v>280</v>
      </c>
      <c r="C106" s="185"/>
      <c r="D106" s="185"/>
      <c r="E106" s="185"/>
      <c r="F106" s="185"/>
      <c r="G106" s="185"/>
      <c r="H106" s="185"/>
      <c r="I106" s="185"/>
    </row>
    <row r="107" spans="1:9" ht="51" customHeight="1" x14ac:dyDescent="0.35">
      <c r="A107" s="16" t="s">
        <v>99</v>
      </c>
      <c r="B107" s="198" t="s">
        <v>212</v>
      </c>
      <c r="C107" s="198"/>
      <c r="D107" s="198"/>
      <c r="E107" s="198"/>
      <c r="F107" s="198"/>
      <c r="G107" s="198"/>
      <c r="H107" s="198"/>
      <c r="I107" s="198"/>
    </row>
    <row r="108" spans="1:9" ht="19.25" customHeight="1" x14ac:dyDescent="0.35">
      <c r="A108" s="37" t="s">
        <v>97</v>
      </c>
      <c r="B108" s="8"/>
      <c r="C108" s="8"/>
      <c r="D108" s="8"/>
      <c r="E108" s="8"/>
      <c r="F108" s="8"/>
      <c r="G108" s="8"/>
      <c r="H108" s="8"/>
      <c r="I108" s="8"/>
    </row>
    <row r="109" spans="1:9" ht="46.25" customHeight="1" x14ac:dyDescent="0.35">
      <c r="A109" s="16" t="s">
        <v>99</v>
      </c>
      <c r="B109" s="185" t="s">
        <v>281</v>
      </c>
      <c r="C109" s="185"/>
      <c r="D109" s="185"/>
      <c r="E109" s="185"/>
      <c r="F109" s="185"/>
      <c r="G109" s="185"/>
      <c r="H109" s="185"/>
      <c r="I109" s="185"/>
    </row>
    <row r="110" spans="1:9" ht="33" customHeight="1" x14ac:dyDescent="0.35">
      <c r="A110" s="16" t="s">
        <v>99</v>
      </c>
      <c r="B110" s="185" t="s">
        <v>213</v>
      </c>
      <c r="C110" s="185"/>
      <c r="D110" s="185"/>
      <c r="E110" s="185"/>
      <c r="F110" s="185"/>
      <c r="G110" s="185"/>
      <c r="H110" s="185"/>
      <c r="I110" s="185"/>
    </row>
    <row r="111" spans="1:9" ht="32.5" customHeight="1" x14ac:dyDescent="0.35">
      <c r="A111" s="16" t="s">
        <v>99</v>
      </c>
      <c r="B111" s="185" t="s">
        <v>214</v>
      </c>
      <c r="C111" s="185"/>
      <c r="D111" s="185"/>
      <c r="E111" s="185"/>
      <c r="F111" s="185"/>
      <c r="G111" s="185"/>
      <c r="H111" s="185"/>
      <c r="I111" s="185"/>
    </row>
    <row r="112" spans="1:9" ht="22.75" customHeight="1" x14ac:dyDescent="0.35">
      <c r="A112" s="16" t="s">
        <v>99</v>
      </c>
      <c r="B112" s="185" t="s">
        <v>215</v>
      </c>
      <c r="C112" s="185"/>
      <c r="D112" s="185"/>
      <c r="E112" s="185"/>
      <c r="F112" s="185"/>
      <c r="G112" s="185"/>
      <c r="H112" s="185"/>
      <c r="I112" s="185"/>
    </row>
    <row r="113" spans="1:9" ht="47.5" customHeight="1" x14ac:dyDescent="0.35">
      <c r="A113" s="16" t="s">
        <v>99</v>
      </c>
      <c r="B113" s="185" t="s">
        <v>216</v>
      </c>
      <c r="C113" s="185"/>
      <c r="D113" s="185"/>
      <c r="E113" s="185"/>
      <c r="F113" s="185"/>
      <c r="G113" s="185"/>
      <c r="H113" s="185"/>
      <c r="I113" s="185"/>
    </row>
    <row r="114" spans="1:9" ht="47.5" customHeight="1" x14ac:dyDescent="0.35">
      <c r="A114" s="16" t="s">
        <v>99</v>
      </c>
      <c r="B114" s="185" t="s">
        <v>252</v>
      </c>
      <c r="C114" s="185"/>
      <c r="D114" s="185"/>
      <c r="E114" s="185"/>
      <c r="F114" s="185"/>
      <c r="G114" s="185"/>
      <c r="H114" s="185"/>
      <c r="I114" s="185"/>
    </row>
    <row r="115" spans="1:9" ht="15.5" x14ac:dyDescent="0.35">
      <c r="A115" s="37" t="s">
        <v>98</v>
      </c>
      <c r="B115" s="35"/>
      <c r="C115" s="35"/>
      <c r="D115" s="35"/>
      <c r="E115" s="35"/>
      <c r="F115" s="35"/>
      <c r="G115" s="35"/>
      <c r="H115" s="35"/>
      <c r="I115" s="35"/>
    </row>
    <row r="116" spans="1:9" ht="21" customHeight="1" x14ac:dyDescent="0.35">
      <c r="A116" s="16" t="s">
        <v>99</v>
      </c>
      <c r="B116" s="185" t="s">
        <v>223</v>
      </c>
      <c r="C116" s="185"/>
      <c r="D116" s="185"/>
      <c r="E116" s="185"/>
      <c r="F116" s="185"/>
      <c r="G116" s="185"/>
      <c r="H116" s="185"/>
      <c r="I116" s="185"/>
    </row>
    <row r="117" spans="1:9" ht="15" customHeight="1" x14ac:dyDescent="0.35">
      <c r="A117" s="16" t="s">
        <v>99</v>
      </c>
      <c r="B117" s="185" t="s">
        <v>260</v>
      </c>
      <c r="C117" s="185"/>
      <c r="D117" s="185"/>
      <c r="E117" s="185"/>
      <c r="F117" s="185"/>
      <c r="G117" s="185"/>
      <c r="H117" s="185"/>
      <c r="I117" s="185"/>
    </row>
    <row r="118" spans="1:9" ht="18.75" customHeight="1" x14ac:dyDescent="0.35">
      <c r="A118" s="38"/>
      <c r="B118" s="185"/>
      <c r="C118" s="185"/>
      <c r="D118" s="185"/>
      <c r="E118" s="185"/>
      <c r="F118" s="185"/>
      <c r="G118" s="185"/>
      <c r="H118" s="185"/>
      <c r="I118" s="185"/>
    </row>
    <row r="119" spans="1:9" ht="50" customHeight="1" x14ac:dyDescent="0.35">
      <c r="A119" s="16" t="s">
        <v>99</v>
      </c>
      <c r="B119" s="185" t="s">
        <v>282</v>
      </c>
      <c r="C119" s="185"/>
      <c r="D119" s="185"/>
      <c r="E119" s="185"/>
      <c r="F119" s="185"/>
      <c r="G119" s="185"/>
      <c r="H119" s="185"/>
      <c r="I119" s="185"/>
    </row>
    <row r="120" spans="1:9" x14ac:dyDescent="0.35">
      <c r="A120" s="16" t="s">
        <v>99</v>
      </c>
      <c r="B120" s="185" t="s">
        <v>217</v>
      </c>
      <c r="C120" s="185"/>
      <c r="D120" s="185"/>
      <c r="E120" s="185"/>
      <c r="F120" s="185"/>
      <c r="G120" s="185"/>
      <c r="H120" s="185"/>
      <c r="I120" s="185"/>
    </row>
    <row r="121" spans="1:9" ht="47.5" customHeight="1" x14ac:dyDescent="0.35">
      <c r="A121" s="36"/>
      <c r="B121" s="185"/>
      <c r="C121" s="185"/>
      <c r="D121" s="185"/>
      <c r="E121" s="185"/>
      <c r="F121" s="185"/>
      <c r="G121" s="185"/>
      <c r="H121" s="185"/>
      <c r="I121" s="185"/>
    </row>
    <row r="122" spans="1:9" ht="47.5" customHeight="1" x14ac:dyDescent="0.35">
      <c r="A122" s="16" t="s">
        <v>99</v>
      </c>
      <c r="B122" s="185" t="s">
        <v>263</v>
      </c>
      <c r="C122" s="185"/>
      <c r="D122" s="185"/>
      <c r="E122" s="185"/>
      <c r="F122" s="185"/>
      <c r="G122" s="185"/>
      <c r="H122" s="185"/>
      <c r="I122" s="185"/>
    </row>
    <row r="123" spans="1:9" ht="77" customHeight="1" x14ac:dyDescent="0.35">
      <c r="A123" s="16" t="s">
        <v>99</v>
      </c>
      <c r="B123" s="186" t="s">
        <v>264</v>
      </c>
      <c r="C123" s="186"/>
      <c r="D123" s="186"/>
      <c r="E123" s="186"/>
      <c r="F123" s="186"/>
      <c r="G123" s="186"/>
      <c r="H123" s="186"/>
      <c r="I123" s="186"/>
    </row>
    <row r="124" spans="1:9" x14ac:dyDescent="0.35">
      <c r="I124" s="41"/>
    </row>
    <row r="125" spans="1:9" x14ac:dyDescent="0.35">
      <c r="I125" s="41"/>
    </row>
    <row r="126" spans="1:9" x14ac:dyDescent="0.35">
      <c r="I126" s="41"/>
    </row>
    <row r="127" spans="1:9" x14ac:dyDescent="0.35">
      <c r="I127" s="41"/>
    </row>
    <row r="128" spans="1:9" x14ac:dyDescent="0.35">
      <c r="I128" s="41"/>
    </row>
    <row r="129" spans="9:9" x14ac:dyDescent="0.35">
      <c r="I129" s="41"/>
    </row>
    <row r="130" spans="9:9" x14ac:dyDescent="0.35">
      <c r="I130" s="41"/>
    </row>
    <row r="131" spans="9:9" x14ac:dyDescent="0.35">
      <c r="I131" s="41"/>
    </row>
    <row r="132" spans="9:9" x14ac:dyDescent="0.35">
      <c r="I132" s="41"/>
    </row>
    <row r="133" spans="9:9" x14ac:dyDescent="0.35">
      <c r="I133" s="41"/>
    </row>
    <row r="134" spans="9:9" x14ac:dyDescent="0.35">
      <c r="I134" s="41"/>
    </row>
    <row r="135" spans="9:9" x14ac:dyDescent="0.35">
      <c r="I135" s="41"/>
    </row>
    <row r="136" spans="9:9" x14ac:dyDescent="0.35">
      <c r="I136" s="41"/>
    </row>
    <row r="137" spans="9:9" x14ac:dyDescent="0.35">
      <c r="I137" s="41"/>
    </row>
    <row r="138" spans="9:9" x14ac:dyDescent="0.35">
      <c r="I138" s="41"/>
    </row>
    <row r="139" spans="9:9" x14ac:dyDescent="0.35">
      <c r="I139" s="41"/>
    </row>
    <row r="140" spans="9:9" x14ac:dyDescent="0.35">
      <c r="I140" s="41"/>
    </row>
    <row r="141" spans="9:9" x14ac:dyDescent="0.35">
      <c r="I141" s="41"/>
    </row>
    <row r="142" spans="9:9" x14ac:dyDescent="0.35">
      <c r="I142" s="41"/>
    </row>
    <row r="143" spans="9:9" x14ac:dyDescent="0.35">
      <c r="I143" s="41"/>
    </row>
    <row r="144" spans="9:9" x14ac:dyDescent="0.35">
      <c r="I144" s="41"/>
    </row>
    <row r="145" spans="1:9" x14ac:dyDescent="0.35">
      <c r="I145" s="41"/>
    </row>
    <row r="146" spans="1:9" x14ac:dyDescent="0.35">
      <c r="A146" s="41"/>
      <c r="B146" s="41"/>
      <c r="C146" s="41"/>
      <c r="D146" s="41"/>
      <c r="E146" s="41"/>
      <c r="F146" s="41"/>
      <c r="G146" s="41"/>
      <c r="H146" s="41"/>
      <c r="I146" s="41"/>
    </row>
    <row r="147" spans="1:9" x14ac:dyDescent="0.35">
      <c r="A147" s="41"/>
      <c r="B147" s="41"/>
      <c r="C147" s="41"/>
      <c r="D147" s="41"/>
      <c r="E147" s="41"/>
      <c r="F147" s="41"/>
      <c r="G147" s="41"/>
      <c r="H147" s="41"/>
      <c r="I147" s="41"/>
    </row>
    <row r="148" spans="1:9" x14ac:dyDescent="0.35">
      <c r="H148" s="41"/>
      <c r="I148" s="41"/>
    </row>
    <row r="149" spans="1:9" x14ac:dyDescent="0.35">
      <c r="H149" s="41"/>
      <c r="I149" s="41"/>
    </row>
    <row r="150" spans="1:9" x14ac:dyDescent="0.35">
      <c r="H150" s="41"/>
      <c r="I150" s="41"/>
    </row>
    <row r="151" spans="1:9" x14ac:dyDescent="0.35">
      <c r="A151" s="41"/>
      <c r="B151" s="41"/>
      <c r="C151" s="41"/>
      <c r="D151" s="41"/>
      <c r="E151" s="41"/>
      <c r="F151" s="41"/>
      <c r="G151" s="41"/>
      <c r="H151" s="41"/>
      <c r="I151" s="41"/>
    </row>
    <row r="152" spans="1:9" x14ac:dyDescent="0.35">
      <c r="A152" s="41"/>
      <c r="B152" s="41"/>
      <c r="C152" s="41"/>
      <c r="D152" s="41"/>
      <c r="E152" s="41"/>
      <c r="F152" s="41"/>
      <c r="G152" s="41"/>
      <c r="H152" s="41"/>
      <c r="I152" s="41"/>
    </row>
    <row r="153" spans="1:9" x14ac:dyDescent="0.35">
      <c r="A153" s="41"/>
      <c r="B153" s="41"/>
      <c r="C153" s="41"/>
      <c r="D153" s="41"/>
      <c r="E153" s="41"/>
      <c r="F153" s="41"/>
      <c r="G153" s="41"/>
      <c r="H153" s="41"/>
      <c r="I153" s="41"/>
    </row>
    <row r="154" spans="1:9" x14ac:dyDescent="0.35">
      <c r="A154" s="41"/>
      <c r="B154" s="41"/>
      <c r="C154" s="41"/>
      <c r="D154" s="41"/>
      <c r="E154" s="41"/>
      <c r="F154" s="41"/>
      <c r="G154" s="41"/>
      <c r="H154" s="41"/>
      <c r="I154" s="41"/>
    </row>
    <row r="155" spans="1:9" x14ac:dyDescent="0.35">
      <c r="A155" s="41"/>
      <c r="B155" s="41"/>
      <c r="C155" s="41"/>
      <c r="D155" s="41"/>
      <c r="E155" s="41"/>
      <c r="F155" s="41"/>
      <c r="G155" s="41"/>
      <c r="H155" s="41"/>
      <c r="I155" s="41"/>
    </row>
    <row r="156" spans="1:9" x14ac:dyDescent="0.35">
      <c r="A156" s="41"/>
      <c r="B156" s="41"/>
      <c r="C156" s="41"/>
      <c r="D156" s="41"/>
      <c r="E156" s="41"/>
      <c r="F156" s="41"/>
      <c r="G156" s="41"/>
      <c r="H156" s="41"/>
      <c r="I156" s="41"/>
    </row>
    <row r="157" spans="1:9" x14ac:dyDescent="0.35">
      <c r="A157" s="41"/>
      <c r="B157" s="41"/>
      <c r="C157" s="41"/>
      <c r="D157" s="41"/>
      <c r="E157" s="41"/>
      <c r="F157" s="41"/>
      <c r="G157" s="41"/>
      <c r="H157" s="41"/>
      <c r="I157" s="41"/>
    </row>
    <row r="158" spans="1:9" x14ac:dyDescent="0.35">
      <c r="A158" s="41"/>
      <c r="B158" s="41"/>
      <c r="C158" s="41"/>
      <c r="D158" s="41"/>
      <c r="E158" s="41"/>
      <c r="F158" s="41"/>
      <c r="G158" s="41"/>
      <c r="H158" s="41"/>
      <c r="I158" s="41"/>
    </row>
    <row r="159" spans="1:9" x14ac:dyDescent="0.35">
      <c r="A159" s="41"/>
      <c r="B159" s="41"/>
      <c r="C159" s="41"/>
      <c r="D159" s="41"/>
      <c r="E159" s="41"/>
      <c r="F159" s="41"/>
      <c r="G159" s="41"/>
      <c r="H159" s="41"/>
      <c r="I159" s="41"/>
    </row>
    <row r="160" spans="1:9" x14ac:dyDescent="0.35">
      <c r="A160" s="41"/>
      <c r="B160" s="41"/>
      <c r="C160" s="41"/>
      <c r="D160" s="41"/>
      <c r="E160" s="41"/>
      <c r="F160" s="41"/>
      <c r="G160" s="41"/>
      <c r="H160" s="41"/>
      <c r="I160" s="41"/>
    </row>
    <row r="161" spans="1:9" x14ac:dyDescent="0.35">
      <c r="A161" s="41"/>
      <c r="B161" s="41"/>
      <c r="C161" s="41"/>
      <c r="D161" s="41"/>
      <c r="E161" s="41"/>
      <c r="F161" s="41"/>
      <c r="G161" s="41"/>
      <c r="H161" s="41"/>
      <c r="I161" s="41"/>
    </row>
    <row r="162" spans="1:9" x14ac:dyDescent="0.35">
      <c r="A162" s="41"/>
      <c r="B162" s="41"/>
      <c r="C162" s="41"/>
      <c r="D162" s="41"/>
      <c r="E162" s="41"/>
      <c r="F162" s="41"/>
      <c r="G162" s="41"/>
      <c r="H162" s="41"/>
      <c r="I162" s="41"/>
    </row>
    <row r="163" spans="1:9" x14ac:dyDescent="0.35">
      <c r="A163" s="41"/>
      <c r="B163" s="41"/>
      <c r="C163" s="41"/>
      <c r="D163" s="41"/>
      <c r="E163" s="41"/>
      <c r="F163" s="41"/>
      <c r="G163" s="41"/>
      <c r="H163" s="41"/>
      <c r="I163" s="41"/>
    </row>
    <row r="164" spans="1:9" x14ac:dyDescent="0.35">
      <c r="A164" s="41"/>
      <c r="B164" s="41"/>
      <c r="C164" s="41"/>
      <c r="D164" s="41"/>
      <c r="E164" s="41"/>
      <c r="F164" s="41"/>
      <c r="G164" s="41"/>
      <c r="H164" s="41"/>
      <c r="I164" s="41"/>
    </row>
    <row r="165" spans="1:9" x14ac:dyDescent="0.35">
      <c r="A165" s="41"/>
      <c r="B165" s="41"/>
      <c r="C165" s="41"/>
      <c r="D165" s="41"/>
      <c r="E165" s="41"/>
      <c r="F165" s="41"/>
      <c r="G165" s="41"/>
      <c r="H165" s="41"/>
      <c r="I165" s="41"/>
    </row>
    <row r="166" spans="1:9" x14ac:dyDescent="0.35">
      <c r="A166" s="41"/>
      <c r="B166" s="41"/>
      <c r="C166" s="41"/>
      <c r="D166" s="41"/>
      <c r="E166" s="41"/>
      <c r="F166" s="41"/>
      <c r="G166" s="41"/>
      <c r="H166" s="41"/>
      <c r="I166" s="41"/>
    </row>
    <row r="167" spans="1:9" x14ac:dyDescent="0.35">
      <c r="A167" s="41"/>
      <c r="B167" s="41"/>
      <c r="C167" s="41"/>
      <c r="D167" s="41"/>
      <c r="E167" s="41"/>
      <c r="F167" s="41"/>
      <c r="G167" s="41"/>
      <c r="H167" s="41"/>
      <c r="I167" s="41"/>
    </row>
    <row r="168" spans="1:9" x14ac:dyDescent="0.35">
      <c r="A168" s="41"/>
      <c r="B168" s="41"/>
      <c r="C168" s="41"/>
      <c r="D168" s="41"/>
      <c r="E168" s="41"/>
      <c r="F168" s="41"/>
      <c r="G168" s="41"/>
      <c r="H168" s="41"/>
      <c r="I168" s="41"/>
    </row>
    <row r="169" spans="1:9" x14ac:dyDescent="0.35">
      <c r="A169" s="41"/>
      <c r="B169" s="41"/>
      <c r="C169" s="41"/>
      <c r="D169" s="41"/>
      <c r="E169" s="41"/>
      <c r="F169" s="41"/>
      <c r="G169" s="41"/>
      <c r="H169" s="41"/>
      <c r="I169" s="41"/>
    </row>
    <row r="170" spans="1:9" x14ac:dyDescent="0.35">
      <c r="A170" s="41"/>
      <c r="B170" s="41"/>
      <c r="C170" s="41"/>
      <c r="D170" s="41"/>
      <c r="E170" s="41"/>
      <c r="F170" s="41"/>
      <c r="G170" s="41"/>
      <c r="H170" s="41"/>
      <c r="I170" s="41"/>
    </row>
    <row r="171" spans="1:9" x14ac:dyDescent="0.35">
      <c r="A171" s="41"/>
      <c r="B171" s="41"/>
      <c r="C171" s="41"/>
      <c r="D171" s="41"/>
      <c r="E171" s="41"/>
      <c r="F171" s="41"/>
      <c r="G171" s="41"/>
      <c r="H171" s="41"/>
      <c r="I171" s="41"/>
    </row>
    <row r="172" spans="1:9" x14ac:dyDescent="0.35">
      <c r="A172" s="41"/>
      <c r="B172" s="41"/>
      <c r="C172" s="41"/>
      <c r="D172" s="41"/>
      <c r="E172" s="41"/>
      <c r="F172" s="41"/>
      <c r="G172" s="41"/>
      <c r="H172" s="41"/>
      <c r="I172" s="41"/>
    </row>
    <row r="173" spans="1:9" x14ac:dyDescent="0.35">
      <c r="A173" s="41"/>
      <c r="B173" s="41"/>
      <c r="C173" s="41"/>
      <c r="D173" s="41"/>
      <c r="E173" s="41"/>
      <c r="F173" s="41"/>
      <c r="G173" s="41"/>
      <c r="H173" s="41"/>
      <c r="I173" s="41"/>
    </row>
    <row r="174" spans="1:9" x14ac:dyDescent="0.35">
      <c r="A174" s="41"/>
      <c r="B174" s="41"/>
      <c r="C174" s="41"/>
      <c r="D174" s="41"/>
      <c r="E174" s="41"/>
      <c r="F174" s="41"/>
      <c r="G174" s="41"/>
      <c r="H174" s="41"/>
      <c r="I174" s="41"/>
    </row>
    <row r="175" spans="1:9" x14ac:dyDescent="0.35">
      <c r="A175" s="41"/>
      <c r="B175" s="41"/>
      <c r="C175" s="41"/>
      <c r="D175" s="41"/>
      <c r="E175" s="41"/>
      <c r="F175" s="41"/>
      <c r="G175" s="41"/>
      <c r="H175" s="41"/>
      <c r="I175" s="41"/>
    </row>
    <row r="176" spans="1:9" x14ac:dyDescent="0.35">
      <c r="A176" s="41"/>
      <c r="B176" s="41"/>
      <c r="C176" s="41"/>
      <c r="D176" s="41"/>
      <c r="E176" s="41"/>
      <c r="F176" s="41"/>
      <c r="G176" s="41"/>
      <c r="H176" s="41"/>
      <c r="I176" s="41"/>
    </row>
    <row r="177" spans="1:9" x14ac:dyDescent="0.35">
      <c r="A177" s="41"/>
      <c r="B177" s="41"/>
      <c r="C177" s="41"/>
      <c r="D177" s="41"/>
      <c r="E177" s="41"/>
      <c r="F177" s="41"/>
      <c r="G177" s="41"/>
      <c r="H177" s="41"/>
      <c r="I177" s="41"/>
    </row>
    <row r="178" spans="1:9" x14ac:dyDescent="0.35">
      <c r="A178" s="41"/>
      <c r="B178" s="41"/>
      <c r="C178" s="41"/>
      <c r="D178" s="41"/>
      <c r="E178" s="41"/>
      <c r="F178" s="41"/>
      <c r="G178" s="41"/>
      <c r="H178" s="41"/>
      <c r="I178" s="41"/>
    </row>
    <row r="179" spans="1:9" x14ac:dyDescent="0.35">
      <c r="A179" s="41"/>
      <c r="B179" s="41"/>
      <c r="C179" s="41"/>
      <c r="D179" s="41"/>
      <c r="E179" s="41"/>
      <c r="F179" s="41"/>
      <c r="G179" s="41"/>
      <c r="H179" s="41"/>
      <c r="I179" s="41"/>
    </row>
    <row r="180" spans="1:9" x14ac:dyDescent="0.35">
      <c r="A180" s="41"/>
      <c r="B180" s="41"/>
      <c r="C180" s="41"/>
      <c r="D180" s="41"/>
      <c r="E180" s="41"/>
      <c r="F180" s="41"/>
      <c r="G180" s="41"/>
      <c r="H180" s="41"/>
      <c r="I180" s="41"/>
    </row>
    <row r="181" spans="1:9" x14ac:dyDescent="0.35">
      <c r="A181" s="41"/>
      <c r="B181" s="41"/>
      <c r="C181" s="41"/>
      <c r="D181" s="41"/>
      <c r="E181" s="41"/>
      <c r="F181" s="41"/>
      <c r="G181" s="41"/>
      <c r="H181" s="41"/>
      <c r="I181" s="41"/>
    </row>
    <row r="182" spans="1:9" x14ac:dyDescent="0.35">
      <c r="A182" s="41"/>
      <c r="B182" s="41"/>
      <c r="C182" s="41"/>
      <c r="D182" s="41"/>
      <c r="E182" s="41"/>
      <c r="F182" s="41"/>
      <c r="G182" s="41"/>
      <c r="H182" s="41"/>
      <c r="I182" s="41"/>
    </row>
    <row r="183" spans="1:9" x14ac:dyDescent="0.35">
      <c r="A183" s="41"/>
      <c r="B183" s="41"/>
      <c r="C183" s="41"/>
      <c r="D183" s="41"/>
      <c r="E183" s="41"/>
      <c r="F183" s="41"/>
      <c r="G183" s="41"/>
      <c r="H183" s="41"/>
      <c r="I183" s="41"/>
    </row>
    <row r="184" spans="1:9" x14ac:dyDescent="0.35">
      <c r="A184" s="41"/>
      <c r="B184" s="41"/>
      <c r="C184" s="41"/>
      <c r="D184" s="41"/>
      <c r="E184" s="41"/>
      <c r="F184" s="41"/>
      <c r="G184" s="41"/>
      <c r="H184" s="41"/>
      <c r="I184" s="41"/>
    </row>
    <row r="185" spans="1:9" x14ac:dyDescent="0.35">
      <c r="A185" s="41"/>
      <c r="B185" s="41"/>
      <c r="C185" s="41"/>
      <c r="D185" s="41"/>
      <c r="E185" s="41"/>
      <c r="F185" s="41"/>
      <c r="G185" s="41"/>
      <c r="H185" s="41"/>
      <c r="I185" s="41"/>
    </row>
    <row r="186" spans="1:9" x14ac:dyDescent="0.35">
      <c r="A186" s="41"/>
      <c r="B186" s="41"/>
      <c r="C186" s="41"/>
      <c r="D186" s="41"/>
      <c r="E186" s="41"/>
      <c r="F186" s="41"/>
      <c r="G186" s="41"/>
      <c r="H186" s="41"/>
      <c r="I186" s="41"/>
    </row>
    <row r="187" spans="1:9" x14ac:dyDescent="0.35">
      <c r="A187" s="41"/>
      <c r="B187" s="41"/>
      <c r="C187" s="41"/>
      <c r="D187" s="41"/>
      <c r="E187" s="41"/>
      <c r="F187" s="41"/>
      <c r="G187" s="41"/>
      <c r="H187" s="41"/>
      <c r="I187" s="41"/>
    </row>
    <row r="188" spans="1:9" x14ac:dyDescent="0.35">
      <c r="A188" s="41"/>
      <c r="B188" s="41"/>
      <c r="C188" s="41"/>
      <c r="D188" s="41"/>
      <c r="E188" s="41"/>
      <c r="F188" s="41"/>
      <c r="G188" s="41"/>
      <c r="H188" s="41"/>
      <c r="I188" s="41"/>
    </row>
    <row r="189" spans="1:9" x14ac:dyDescent="0.35">
      <c r="A189" s="41"/>
      <c r="B189" s="41"/>
      <c r="C189" s="41"/>
      <c r="D189" s="41"/>
      <c r="E189" s="41"/>
      <c r="F189" s="41"/>
      <c r="G189" s="41"/>
      <c r="H189" s="41"/>
      <c r="I189" s="41"/>
    </row>
    <row r="190" spans="1:9" x14ac:dyDescent="0.35">
      <c r="A190" s="41"/>
      <c r="B190" s="41"/>
      <c r="C190" s="41"/>
      <c r="D190" s="41"/>
      <c r="E190" s="41"/>
      <c r="F190" s="41"/>
      <c r="G190" s="41"/>
      <c r="H190" s="41"/>
      <c r="I190" s="41"/>
    </row>
    <row r="191" spans="1:9" x14ac:dyDescent="0.35">
      <c r="A191" s="41"/>
      <c r="B191" s="41"/>
      <c r="C191" s="41"/>
      <c r="D191" s="41"/>
      <c r="E191" s="41"/>
      <c r="F191" s="41"/>
      <c r="G191" s="41"/>
      <c r="H191" s="41"/>
      <c r="I191" s="41"/>
    </row>
    <row r="192" spans="1:9" x14ac:dyDescent="0.35">
      <c r="A192" s="41"/>
      <c r="B192" s="41"/>
      <c r="C192" s="41"/>
      <c r="D192" s="41"/>
      <c r="E192" s="41"/>
      <c r="F192" s="41"/>
      <c r="G192" s="41"/>
      <c r="H192" s="41"/>
      <c r="I192" s="41"/>
    </row>
    <row r="193" spans="1:9" x14ac:dyDescent="0.35">
      <c r="A193" s="41"/>
      <c r="B193" s="41"/>
      <c r="C193" s="41"/>
      <c r="D193" s="41"/>
      <c r="E193" s="41"/>
      <c r="F193" s="41"/>
      <c r="G193" s="41"/>
      <c r="H193" s="41"/>
      <c r="I193" s="41"/>
    </row>
    <row r="194" spans="1:9" x14ac:dyDescent="0.35">
      <c r="A194" s="41"/>
      <c r="B194" s="41"/>
      <c r="C194" s="41"/>
      <c r="D194" s="41"/>
      <c r="E194" s="41"/>
      <c r="F194" s="41"/>
      <c r="G194" s="41"/>
      <c r="H194" s="41"/>
      <c r="I194" s="41"/>
    </row>
    <row r="195" spans="1:9" x14ac:dyDescent="0.35">
      <c r="A195" s="41"/>
      <c r="B195" s="41"/>
      <c r="C195" s="41"/>
      <c r="D195" s="41"/>
      <c r="E195" s="41"/>
      <c r="F195" s="41"/>
      <c r="G195" s="41"/>
      <c r="H195" s="41"/>
      <c r="I195" s="41"/>
    </row>
    <row r="196" spans="1:9" x14ac:dyDescent="0.35">
      <c r="A196" s="41"/>
      <c r="B196" s="41"/>
      <c r="C196" s="41"/>
      <c r="D196" s="41"/>
      <c r="E196" s="41"/>
      <c r="F196" s="41"/>
      <c r="G196" s="41"/>
      <c r="H196" s="41"/>
      <c r="I196" s="41"/>
    </row>
  </sheetData>
  <sheetProtection algorithmName="SHA-512" hashValue="PGDbipt9Lh5vwfiyTNhLoasGqXeRV7Am8RBYhlOzTJvJ3rwXbDThXZiFjKCL6DEaGxzLki4wNyl8HN4GCV6ARA==" saltValue="AGk0RMBcLTzcosC7IuQArg==" spinCount="100000" sheet="1" objects="1" scenarios="1"/>
  <mergeCells count="57">
    <mergeCell ref="B123:I123"/>
    <mergeCell ref="B113:I113"/>
    <mergeCell ref="B116:I116"/>
    <mergeCell ref="B117:I118"/>
    <mergeCell ref="B120:I121"/>
    <mergeCell ref="B119:I119"/>
    <mergeCell ref="B122:I122"/>
    <mergeCell ref="B64:I66"/>
    <mergeCell ref="B110:I110"/>
    <mergeCell ref="B72:I73"/>
    <mergeCell ref="B114:I114"/>
    <mergeCell ref="B87:I87"/>
    <mergeCell ref="B100:I101"/>
    <mergeCell ref="A99:I99"/>
    <mergeCell ref="B112:I112"/>
    <mergeCell ref="B107:I107"/>
    <mergeCell ref="B102:I102"/>
    <mergeCell ref="C78:I79"/>
    <mergeCell ref="C85:I85"/>
    <mergeCell ref="B91:F91"/>
    <mergeCell ref="B92:I93"/>
    <mergeCell ref="B105:I105"/>
    <mergeCell ref="B98:I98"/>
    <mergeCell ref="A1:I1"/>
    <mergeCell ref="A3:I3"/>
    <mergeCell ref="A7:I11"/>
    <mergeCell ref="B17:I21"/>
    <mergeCell ref="B27:I34"/>
    <mergeCell ref="B24:I25"/>
    <mergeCell ref="A2:I2"/>
    <mergeCell ref="A12:I12"/>
    <mergeCell ref="B26:I26"/>
    <mergeCell ref="A5:I5"/>
    <mergeCell ref="B22:I22"/>
    <mergeCell ref="C35:I39"/>
    <mergeCell ref="C40:I47"/>
    <mergeCell ref="B49:I53"/>
    <mergeCell ref="B56:I56"/>
    <mergeCell ref="B60:I63"/>
    <mergeCell ref="C48:I48"/>
    <mergeCell ref="B54:I55"/>
    <mergeCell ref="B111:I111"/>
    <mergeCell ref="B109:I109"/>
    <mergeCell ref="B67:I69"/>
    <mergeCell ref="B70:I71"/>
    <mergeCell ref="B80:B81"/>
    <mergeCell ref="B97:I97"/>
    <mergeCell ref="B94:I95"/>
    <mergeCell ref="B75:I76"/>
    <mergeCell ref="C80:I81"/>
    <mergeCell ref="B83:B84"/>
    <mergeCell ref="B89:I90"/>
    <mergeCell ref="C83:I84"/>
    <mergeCell ref="B96:I96"/>
    <mergeCell ref="B106:I106"/>
    <mergeCell ref="B103:I103"/>
    <mergeCell ref="A104:B104"/>
  </mergeCells>
  <pageMargins left="0.7" right="0.7" top="0.75" bottom="0.75" header="0.3" footer="0.3"/>
  <pageSetup orientation="portrait" r:id="rId1"/>
  <headerFooter>
    <oddHeader>&amp;R&amp;P of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3"/>
  <sheetViews>
    <sheetView tabSelected="1" zoomScale="90" zoomScaleNormal="90" workbookViewId="0">
      <pane xSplit="1" ySplit="1" topLeftCell="B2" activePane="bottomRight" state="frozen"/>
      <selection pane="topRight" activeCell="B1" sqref="B1"/>
      <selection pane="bottomLeft" activeCell="A2" sqref="A2"/>
      <selection pane="bottomRight" activeCell="G1" sqref="G1"/>
    </sheetView>
  </sheetViews>
  <sheetFormatPr defaultColWidth="8.81640625" defaultRowHeight="14.5" x14ac:dyDescent="0.35"/>
  <cols>
    <col min="1" max="1" width="31.453125" customWidth="1"/>
    <col min="2" max="7" width="13.81640625" customWidth="1"/>
    <col min="8" max="8" width="34.453125" customWidth="1"/>
    <col min="13" max="13" width="17.81640625" customWidth="1"/>
    <col min="14" max="14" width="25.453125" customWidth="1"/>
    <col min="15" max="15" width="25.36328125" customWidth="1"/>
  </cols>
  <sheetData>
    <row r="1" spans="1:8" ht="15.5" x14ac:dyDescent="0.35">
      <c r="A1" s="130" t="s">
        <v>353</v>
      </c>
      <c r="B1" s="11" t="s">
        <v>112</v>
      </c>
      <c r="C1" s="11" t="s">
        <v>113</v>
      </c>
      <c r="D1" s="11" t="s">
        <v>114</v>
      </c>
      <c r="E1" s="11" t="s">
        <v>116</v>
      </c>
      <c r="F1" s="11" t="s">
        <v>117</v>
      </c>
      <c r="G1" s="11" t="s">
        <v>389</v>
      </c>
      <c r="H1" s="93" t="s">
        <v>1</v>
      </c>
    </row>
    <row r="2" spans="1:8" s="10" customFormat="1" ht="15.5" x14ac:dyDescent="0.35">
      <c r="A2" s="130" t="s">
        <v>218</v>
      </c>
      <c r="B2" s="104" t="s">
        <v>0</v>
      </c>
      <c r="C2" s="104" t="s">
        <v>2</v>
      </c>
      <c r="D2" s="104" t="s">
        <v>3</v>
      </c>
      <c r="E2" s="104" t="s">
        <v>4</v>
      </c>
      <c r="F2" s="104" t="s">
        <v>5</v>
      </c>
      <c r="G2" s="104" t="s">
        <v>6</v>
      </c>
      <c r="H2" s="20"/>
    </row>
    <row r="3" spans="1:8" x14ac:dyDescent="0.35">
      <c r="A3" s="200" t="s">
        <v>7</v>
      </c>
      <c r="B3" s="201"/>
      <c r="C3" s="201"/>
      <c r="D3" s="201"/>
      <c r="E3" s="201"/>
      <c r="F3" s="201"/>
      <c r="G3" s="201"/>
      <c r="H3" s="202"/>
    </row>
    <row r="4" spans="1:8" x14ac:dyDescent="0.35">
      <c r="A4" s="43" t="s">
        <v>11</v>
      </c>
      <c r="B4" s="94"/>
      <c r="C4" s="21">
        <f>C13*80</f>
        <v>8640</v>
      </c>
      <c r="D4" s="21">
        <f>D13*80</f>
        <v>17280</v>
      </c>
      <c r="E4" s="21">
        <f>E13*80</f>
        <v>25920</v>
      </c>
      <c r="F4" s="21">
        <f>F13*80</f>
        <v>25920</v>
      </c>
      <c r="G4" s="21">
        <f>G13*80</f>
        <v>25920</v>
      </c>
      <c r="H4" s="180" t="s">
        <v>325</v>
      </c>
    </row>
    <row r="5" spans="1:8" x14ac:dyDescent="0.35">
      <c r="A5" s="43" t="s">
        <v>19</v>
      </c>
      <c r="B5" s="94"/>
      <c r="C5" s="175" t="s">
        <v>326</v>
      </c>
      <c r="D5" s="175" t="s">
        <v>326</v>
      </c>
      <c r="E5" s="175" t="s">
        <v>326</v>
      </c>
      <c r="F5" s="175" t="s">
        <v>326</v>
      </c>
      <c r="G5" s="175" t="s">
        <v>326</v>
      </c>
      <c r="H5" s="181" t="s">
        <v>360</v>
      </c>
    </row>
    <row r="6" spans="1:8" x14ac:dyDescent="0.35">
      <c r="A6" s="43" t="s">
        <v>20</v>
      </c>
      <c r="B6" s="94"/>
      <c r="C6" s="22">
        <v>55000</v>
      </c>
      <c r="D6" s="22">
        <f>55000*1.03</f>
        <v>56650</v>
      </c>
      <c r="E6" s="22">
        <f>D6*1.03</f>
        <v>58349.5</v>
      </c>
      <c r="F6" s="22">
        <f>E6*1.03</f>
        <v>60099.985000000001</v>
      </c>
      <c r="G6" s="22">
        <f>F6*1.03</f>
        <v>61902.984550000001</v>
      </c>
      <c r="H6" s="45"/>
    </row>
    <row r="7" spans="1:8" ht="41.5" customHeight="1" x14ac:dyDescent="0.35">
      <c r="A7" s="43" t="s">
        <v>245</v>
      </c>
      <c r="B7" s="94"/>
      <c r="C7" s="113" t="s">
        <v>165</v>
      </c>
      <c r="D7" s="113" t="s">
        <v>165</v>
      </c>
      <c r="E7" s="113" t="s">
        <v>165</v>
      </c>
      <c r="F7" s="113" t="s">
        <v>165</v>
      </c>
      <c r="G7" s="113" t="s">
        <v>165</v>
      </c>
      <c r="H7" s="45"/>
    </row>
    <row r="8" spans="1:8" ht="43.5" x14ac:dyDescent="0.35">
      <c r="A8" s="43" t="s">
        <v>244</v>
      </c>
      <c r="B8" s="94"/>
      <c r="C8" s="113" t="s">
        <v>165</v>
      </c>
      <c r="D8" s="113" t="s">
        <v>165</v>
      </c>
      <c r="E8" s="113" t="s">
        <v>165</v>
      </c>
      <c r="F8" s="113" t="s">
        <v>165</v>
      </c>
      <c r="G8" s="113" t="s">
        <v>165</v>
      </c>
      <c r="H8" s="45"/>
    </row>
    <row r="9" spans="1:8" ht="30" x14ac:dyDescent="0.35">
      <c r="A9" s="95" t="s">
        <v>110</v>
      </c>
      <c r="B9" s="94"/>
      <c r="C9" s="23">
        <f>SUM(C10:C14)</f>
        <v>108</v>
      </c>
      <c r="D9" s="23">
        <f>SUM(D10:D14)</f>
        <v>216</v>
      </c>
      <c r="E9" s="23">
        <f>SUM(E10:E14)</f>
        <v>324</v>
      </c>
      <c r="F9" s="23">
        <f>SUM(F10:F14)</f>
        <v>324</v>
      </c>
      <c r="G9" s="23">
        <f>SUM(G10:G14)</f>
        <v>324</v>
      </c>
      <c r="H9" s="43"/>
    </row>
    <row r="10" spans="1:8" ht="26.5" customHeight="1" x14ac:dyDescent="0.35">
      <c r="A10" s="43" t="s">
        <v>8</v>
      </c>
      <c r="B10" s="94"/>
      <c r="C10" s="22">
        <v>0</v>
      </c>
      <c r="D10" s="22">
        <v>0</v>
      </c>
      <c r="E10" s="22">
        <v>0</v>
      </c>
      <c r="F10" s="22">
        <v>0</v>
      </c>
      <c r="G10" s="22">
        <v>0</v>
      </c>
      <c r="H10" s="45"/>
    </row>
    <row r="11" spans="1:8" x14ac:dyDescent="0.35">
      <c r="A11" s="43" t="s">
        <v>21</v>
      </c>
      <c r="B11" s="94"/>
      <c r="C11" s="22">
        <v>0</v>
      </c>
      <c r="D11" s="22">
        <v>0</v>
      </c>
      <c r="E11" s="22">
        <v>0</v>
      </c>
      <c r="F11" s="22">
        <v>0</v>
      </c>
      <c r="G11" s="22">
        <v>0</v>
      </c>
      <c r="H11" s="45"/>
    </row>
    <row r="12" spans="1:8" x14ac:dyDescent="0.35">
      <c r="A12" s="43" t="s">
        <v>22</v>
      </c>
      <c r="B12" s="94"/>
      <c r="C12" s="22">
        <v>0</v>
      </c>
      <c r="D12" s="22">
        <v>0</v>
      </c>
      <c r="E12" s="22">
        <v>0</v>
      </c>
      <c r="F12" s="22">
        <v>0</v>
      </c>
      <c r="G12" s="22">
        <v>0</v>
      </c>
      <c r="H12" s="45"/>
    </row>
    <row r="13" spans="1:8" x14ac:dyDescent="0.35">
      <c r="A13" s="43" t="s">
        <v>9</v>
      </c>
      <c r="B13" s="94"/>
      <c r="C13" s="22">
        <v>108</v>
      </c>
      <c r="D13" s="22">
        <v>216</v>
      </c>
      <c r="E13" s="22">
        <v>324</v>
      </c>
      <c r="F13" s="22">
        <v>324</v>
      </c>
      <c r="G13" s="22">
        <v>324</v>
      </c>
      <c r="H13" s="45"/>
    </row>
    <row r="14" spans="1:8" ht="30" customHeight="1" x14ac:dyDescent="0.35">
      <c r="A14" s="43" t="s">
        <v>10</v>
      </c>
      <c r="B14" s="94"/>
      <c r="C14" s="22">
        <v>0</v>
      </c>
      <c r="D14" s="22"/>
      <c r="E14" s="22"/>
      <c r="F14" s="22"/>
      <c r="G14" s="22"/>
      <c r="H14" s="45"/>
    </row>
    <row r="15" spans="1:8" ht="15" x14ac:dyDescent="0.35">
      <c r="A15" s="95" t="s">
        <v>109</v>
      </c>
      <c r="B15" s="94"/>
      <c r="C15" s="23">
        <f>SUM(C16:C20)</f>
        <v>0</v>
      </c>
      <c r="D15" s="23">
        <f>SUM(D16:D20)</f>
        <v>0</v>
      </c>
      <c r="E15" s="23">
        <f>SUM(E16:E20)</f>
        <v>0</v>
      </c>
      <c r="F15" s="23">
        <f>SUM(F16:F20)</f>
        <v>0</v>
      </c>
      <c r="G15" s="23">
        <f>SUM(G16:G20)</f>
        <v>0</v>
      </c>
      <c r="H15" s="43"/>
    </row>
    <row r="16" spans="1:8" ht="29" x14ac:dyDescent="0.35">
      <c r="A16" s="43" t="s">
        <v>102</v>
      </c>
      <c r="B16" s="94"/>
      <c r="C16" s="22">
        <v>0</v>
      </c>
      <c r="D16" s="22">
        <v>0</v>
      </c>
      <c r="E16" s="22">
        <v>0</v>
      </c>
      <c r="F16" s="22">
        <v>0</v>
      </c>
      <c r="G16" s="22">
        <v>0</v>
      </c>
      <c r="H16" s="45"/>
    </row>
    <row r="17" spans="1:15" ht="29" x14ac:dyDescent="0.35">
      <c r="A17" s="43" t="s">
        <v>103</v>
      </c>
      <c r="B17" s="94"/>
      <c r="C17" s="22">
        <v>0</v>
      </c>
      <c r="D17" s="22">
        <v>0</v>
      </c>
      <c r="E17" s="22">
        <v>0</v>
      </c>
      <c r="F17" s="22">
        <v>0</v>
      </c>
      <c r="G17" s="22">
        <v>0</v>
      </c>
      <c r="H17" s="45"/>
    </row>
    <row r="18" spans="1:15" ht="29" x14ac:dyDescent="0.35">
      <c r="A18" s="43" t="s">
        <v>104</v>
      </c>
      <c r="B18" s="94"/>
      <c r="C18" s="22">
        <v>0</v>
      </c>
      <c r="D18" s="22">
        <v>0</v>
      </c>
      <c r="E18" s="22">
        <v>0</v>
      </c>
      <c r="F18" s="22">
        <v>0</v>
      </c>
      <c r="G18" s="22">
        <v>0</v>
      </c>
      <c r="H18" s="45"/>
    </row>
    <row r="19" spans="1:15" ht="29" x14ac:dyDescent="0.35">
      <c r="A19" s="43" t="s">
        <v>105</v>
      </c>
      <c r="B19" s="94"/>
      <c r="C19" s="22">
        <v>0</v>
      </c>
      <c r="D19" s="22">
        <v>0</v>
      </c>
      <c r="E19" s="22">
        <v>0</v>
      </c>
      <c r="F19" s="22">
        <v>0</v>
      </c>
      <c r="G19" s="22">
        <v>0</v>
      </c>
      <c r="H19" s="45"/>
    </row>
    <row r="20" spans="1:15" ht="29" x14ac:dyDescent="0.35">
      <c r="A20" s="43" t="s">
        <v>106</v>
      </c>
      <c r="B20" s="94"/>
      <c r="C20" s="22">
        <v>0</v>
      </c>
      <c r="D20" s="22">
        <v>0</v>
      </c>
      <c r="E20" s="22">
        <v>0</v>
      </c>
      <c r="F20" s="22">
        <v>0</v>
      </c>
      <c r="G20" s="22">
        <v>0</v>
      </c>
      <c r="H20" s="45"/>
    </row>
    <row r="21" spans="1:15" x14ac:dyDescent="0.35">
      <c r="A21" s="43" t="s">
        <v>12</v>
      </c>
      <c r="B21" s="22"/>
      <c r="C21" s="22">
        <v>1.5</v>
      </c>
      <c r="D21" s="22">
        <v>1.5</v>
      </c>
      <c r="E21" s="22">
        <v>3</v>
      </c>
      <c r="F21" s="22">
        <v>3</v>
      </c>
      <c r="G21" s="22">
        <v>3</v>
      </c>
      <c r="H21" s="45"/>
    </row>
    <row r="22" spans="1:15" x14ac:dyDescent="0.35">
      <c r="A22" s="43" t="s">
        <v>13</v>
      </c>
      <c r="B22" s="96"/>
      <c r="C22" s="22">
        <v>6</v>
      </c>
      <c r="D22" s="22">
        <v>10.5</v>
      </c>
      <c r="E22" s="22">
        <v>15</v>
      </c>
      <c r="F22" s="22">
        <v>15</v>
      </c>
      <c r="G22" s="22">
        <v>15</v>
      </c>
      <c r="H22" s="45"/>
    </row>
    <row r="23" spans="1:15" x14ac:dyDescent="0.35">
      <c r="A23" s="43" t="s">
        <v>14</v>
      </c>
      <c r="B23" s="96"/>
      <c r="C23" s="22">
        <v>0</v>
      </c>
      <c r="D23" s="22">
        <v>0</v>
      </c>
      <c r="E23" s="22">
        <v>1</v>
      </c>
      <c r="F23" s="22">
        <v>1</v>
      </c>
      <c r="G23" s="22">
        <v>1</v>
      </c>
      <c r="H23" s="45"/>
    </row>
    <row r="24" spans="1:15" x14ac:dyDescent="0.35">
      <c r="A24" s="43" t="s">
        <v>15</v>
      </c>
      <c r="B24" s="22"/>
      <c r="C24" s="22">
        <v>1.5</v>
      </c>
      <c r="D24" s="22">
        <v>2</v>
      </c>
      <c r="E24" s="22">
        <v>2</v>
      </c>
      <c r="F24" s="22">
        <v>2</v>
      </c>
      <c r="G24" s="22">
        <v>2</v>
      </c>
      <c r="H24" s="45"/>
    </row>
    <row r="25" spans="1:15" x14ac:dyDescent="0.35">
      <c r="A25" s="43" t="s">
        <v>16</v>
      </c>
      <c r="B25" s="22"/>
      <c r="C25" s="22">
        <v>0</v>
      </c>
      <c r="D25" s="22">
        <v>0</v>
      </c>
      <c r="E25" s="22">
        <v>0</v>
      </c>
      <c r="F25" s="22">
        <v>0</v>
      </c>
      <c r="G25" s="22">
        <v>0</v>
      </c>
      <c r="H25" s="45"/>
    </row>
    <row r="26" spans="1:15" x14ac:dyDescent="0.35">
      <c r="A26" s="43" t="s">
        <v>17</v>
      </c>
      <c r="B26" s="96"/>
      <c r="C26" s="22">
        <v>0</v>
      </c>
      <c r="D26" s="22">
        <v>0</v>
      </c>
      <c r="E26" s="22">
        <v>0</v>
      </c>
      <c r="F26" s="22">
        <v>0</v>
      </c>
      <c r="G26" s="22">
        <v>0</v>
      </c>
      <c r="H26" s="45"/>
    </row>
    <row r="27" spans="1:15" x14ac:dyDescent="0.35">
      <c r="A27" s="43" t="s">
        <v>18</v>
      </c>
      <c r="B27" s="22"/>
      <c r="C27" s="22">
        <v>9</v>
      </c>
      <c r="D27" s="22">
        <v>13</v>
      </c>
      <c r="E27" s="22">
        <v>20</v>
      </c>
      <c r="F27" s="22">
        <v>20</v>
      </c>
      <c r="G27" s="22">
        <v>20</v>
      </c>
      <c r="H27" s="45"/>
    </row>
    <row r="28" spans="1:15" ht="29" x14ac:dyDescent="0.35">
      <c r="A28" s="43" t="s">
        <v>169</v>
      </c>
      <c r="B28" s="96"/>
      <c r="C28" s="22">
        <v>7</v>
      </c>
      <c r="D28" s="22">
        <v>9</v>
      </c>
      <c r="E28" s="22">
        <v>18</v>
      </c>
      <c r="F28" s="22">
        <v>18</v>
      </c>
      <c r="G28" s="22">
        <v>18</v>
      </c>
      <c r="H28" s="45"/>
      <c r="M28" s="209" t="s">
        <v>283</v>
      </c>
      <c r="N28" s="209"/>
      <c r="O28" s="209"/>
    </row>
    <row r="29" spans="1:15" x14ac:dyDescent="0.35">
      <c r="A29" s="203" t="s">
        <v>23</v>
      </c>
      <c r="B29" s="204"/>
      <c r="C29" s="204"/>
      <c r="D29" s="204"/>
      <c r="E29" s="204"/>
      <c r="F29" s="204"/>
      <c r="G29" s="204"/>
      <c r="H29" s="205"/>
      <c r="M29" s="176" t="s">
        <v>284</v>
      </c>
      <c r="N29" s="176" t="s">
        <v>285</v>
      </c>
      <c r="O29" s="176" t="s">
        <v>1</v>
      </c>
    </row>
    <row r="30" spans="1:15" ht="29" x14ac:dyDescent="0.35">
      <c r="A30" s="98" t="s">
        <v>289</v>
      </c>
      <c r="B30" s="96"/>
      <c r="C30" s="25">
        <f>ROUND((C10+C16)*'Formula Ref &amp; Validation Data'!$B$14+(C11+C17)*'Formula Ref &amp; Validation Data'!$B$15+(C18+C12)*'Formula Ref &amp; Validation Data'!$B$16+(C13+C19)*'Formula Ref &amp; Validation Data'!$B$17+(C14+C20)*'Formula Ref &amp; Validation Data'!$B$18,0)</f>
        <v>342802</v>
      </c>
      <c r="D30" s="25">
        <f>ROUND((D10+D16)*'Formula Ref &amp; Validation Data'!$B$14+(D11+D17)*'Formula Ref &amp; Validation Data'!$B$15+(D18+D12)*'Formula Ref &amp; Validation Data'!$B$16+(D13+D19)*'Formula Ref &amp; Validation Data'!$B$17+(D14+D20)*'Formula Ref &amp; Validation Data'!$B$18,0)</f>
        <v>685603</v>
      </c>
      <c r="E30" s="25">
        <f>ROUND((E10+E16)*'Formula Ref &amp; Validation Data'!$B$14+(E11+E17)*'Formula Ref &amp; Validation Data'!$B$15+(E18+E12)*'Formula Ref &amp; Validation Data'!$B$16+(E13+E19)*'Formula Ref &amp; Validation Data'!$B$17+(E14+E20)*'Formula Ref &amp; Validation Data'!$B$18,0)</f>
        <v>1028405</v>
      </c>
      <c r="F30" s="25">
        <f>ROUND((F10+F16)*'Formula Ref &amp; Validation Data'!$B$14+(F11+F17)*'Formula Ref &amp; Validation Data'!$B$15+(F18+F12)*'Formula Ref &amp; Validation Data'!$B$16+(F13+F19)*'Formula Ref &amp; Validation Data'!$B$17+(F14+F20)*'Formula Ref &amp; Validation Data'!$B$18,0)</f>
        <v>1028405</v>
      </c>
      <c r="G30" s="25">
        <f>ROUND((G10+G16)*'Formula Ref &amp; Validation Data'!$B$14+(G11+G17)*'Formula Ref &amp; Validation Data'!$B$15+(G18+G12)*'Formula Ref &amp; Validation Data'!$B$16+(G13+G19)*'Formula Ref &amp; Validation Data'!$B$17+(G14+G20)*'Formula Ref &amp; Validation Data'!$B$18,0)</f>
        <v>1028405</v>
      </c>
      <c r="H30" s="98"/>
      <c r="M30" s="177" t="s">
        <v>286</v>
      </c>
      <c r="N30" s="178" t="s">
        <v>287</v>
      </c>
      <c r="O30" s="177" t="s">
        <v>288</v>
      </c>
    </row>
    <row r="31" spans="1:15" ht="46" customHeight="1" x14ac:dyDescent="0.35">
      <c r="A31" s="98" t="s">
        <v>318</v>
      </c>
      <c r="B31" s="96"/>
      <c r="C31" s="26">
        <f>ROUND(C28*'Formula Ref &amp; Validation Data'!$B$21,0)</f>
        <v>143794</v>
      </c>
      <c r="D31" s="26">
        <f>ROUND(D28*'Formula Ref &amp; Validation Data'!$B$21,0)</f>
        <v>184878</v>
      </c>
      <c r="E31" s="26">
        <f>ROUND(E28*'Formula Ref &amp; Validation Data'!$B$21,0)</f>
        <v>369756</v>
      </c>
      <c r="F31" s="26">
        <f>ROUND(F28*'Formula Ref &amp; Validation Data'!$B$21,0)</f>
        <v>369756</v>
      </c>
      <c r="G31" s="26">
        <f>ROUND(G28*'Formula Ref &amp; Validation Data'!$B$21,0)</f>
        <v>369756</v>
      </c>
      <c r="H31" s="98"/>
      <c r="M31" s="177" t="s">
        <v>290</v>
      </c>
      <c r="N31" s="178" t="s">
        <v>291</v>
      </c>
      <c r="O31" s="177"/>
    </row>
    <row r="32" spans="1:15" ht="42.5" customHeight="1" x14ac:dyDescent="0.35">
      <c r="A32" s="98" t="s">
        <v>319</v>
      </c>
      <c r="B32" s="96"/>
      <c r="C32" s="25">
        <f>ROUND(C28*'Formula Ref &amp; Validation Data'!$B$22,0)</f>
        <v>79380</v>
      </c>
      <c r="D32" s="25">
        <f>ROUND(D28*'Formula Ref &amp; Validation Data'!$B$22,0)</f>
        <v>102060</v>
      </c>
      <c r="E32" s="25">
        <f>ROUND(E28*'Formula Ref &amp; Validation Data'!$B$22,0)</f>
        <v>204120</v>
      </c>
      <c r="F32" s="25">
        <f>ROUND(F28*'Formula Ref &amp; Validation Data'!$B$22,0)</f>
        <v>204120</v>
      </c>
      <c r="G32" s="25">
        <f>ROUND(G28*'Formula Ref &amp; Validation Data'!$B$22,0)</f>
        <v>204120</v>
      </c>
      <c r="H32" s="97"/>
      <c r="M32" s="177" t="s">
        <v>292</v>
      </c>
      <c r="N32" s="178" t="s">
        <v>324</v>
      </c>
      <c r="O32" s="177"/>
    </row>
    <row r="33" spans="1:15" ht="43.5" x14ac:dyDescent="0.35">
      <c r="A33" s="98" t="s">
        <v>295</v>
      </c>
      <c r="B33" s="96"/>
      <c r="C33" s="25">
        <f>ROUND((C15+C9)*'Formula Ref &amp; Validation Data'!$B$23,0)</f>
        <v>-136404</v>
      </c>
      <c r="D33" s="25">
        <f>ROUND((D15+D9)*'Formula Ref &amp; Validation Data'!$B$23,0)</f>
        <v>-272808</v>
      </c>
      <c r="E33" s="25">
        <f>ROUND((E15+E9)*'Formula Ref &amp; Validation Data'!$B$23,0)</f>
        <v>-409212</v>
      </c>
      <c r="F33" s="25">
        <f>ROUND((F15+F9)*'Formula Ref &amp; Validation Data'!$B$23,0)</f>
        <v>-409212</v>
      </c>
      <c r="G33" s="25">
        <f>ROUND((G15+G9)*'Formula Ref &amp; Validation Data'!$B$23,0)</f>
        <v>-409212</v>
      </c>
      <c r="H33" s="97"/>
      <c r="M33" s="177" t="s">
        <v>293</v>
      </c>
      <c r="N33" s="178" t="s">
        <v>294</v>
      </c>
      <c r="O33" s="177"/>
    </row>
    <row r="34" spans="1:15" x14ac:dyDescent="0.35">
      <c r="A34" s="128" t="s">
        <v>161</v>
      </c>
      <c r="B34" s="96"/>
      <c r="C34" s="25">
        <f>ROUND(SUM(C30:C33),0)</f>
        <v>429572</v>
      </c>
      <c r="D34" s="25">
        <f t="shared" ref="D34:G34" si="0">ROUND(SUM(D30:D33),0)</f>
        <v>699733</v>
      </c>
      <c r="E34" s="25">
        <f t="shared" si="0"/>
        <v>1193069</v>
      </c>
      <c r="F34" s="25">
        <f t="shared" si="0"/>
        <v>1193069</v>
      </c>
      <c r="G34" s="25">
        <f t="shared" si="0"/>
        <v>1193069</v>
      </c>
      <c r="H34" s="97"/>
      <c r="M34" s="94"/>
      <c r="N34" s="94"/>
      <c r="O34" s="94"/>
    </row>
    <row r="35" spans="1:15" ht="38" customHeight="1" x14ac:dyDescent="0.35">
      <c r="A35" s="98" t="s">
        <v>296</v>
      </c>
      <c r="B35" s="96"/>
      <c r="C35" s="25">
        <f>ROUND(C34*-'Formula Ref &amp; Validation Data'!$B$24,0)</f>
        <v>-18171</v>
      </c>
      <c r="D35" s="25">
        <f>ROUND(D34*-'Formula Ref &amp; Validation Data'!$B$32,0)</f>
        <v>-20992</v>
      </c>
      <c r="E35" s="25">
        <f>ROUND(E34*-'Formula Ref &amp; Validation Data'!$B$33,0)</f>
        <v>-23861</v>
      </c>
      <c r="F35" s="25">
        <f>ROUND(F34*-'Formula Ref &amp; Validation Data'!$B$34,0)</f>
        <v>-11931</v>
      </c>
      <c r="G35" s="25">
        <f>ROUND(G34*-'Formula Ref &amp; Validation Data'!$B$35,0)</f>
        <v>0</v>
      </c>
      <c r="H35" s="97"/>
      <c r="M35" s="177" t="s">
        <v>296</v>
      </c>
      <c r="N35" s="178" t="s">
        <v>298</v>
      </c>
      <c r="O35" s="178" t="s">
        <v>297</v>
      </c>
    </row>
    <row r="36" spans="1:15" ht="35.5" customHeight="1" x14ac:dyDescent="0.35">
      <c r="A36" s="98" t="s">
        <v>302</v>
      </c>
      <c r="B36" s="96"/>
      <c r="C36" s="27">
        <v>0</v>
      </c>
      <c r="D36" s="25">
        <f t="shared" ref="D36:E36" si="1">IF((D15+D9)&gt;0,20000,0)</f>
        <v>20000</v>
      </c>
      <c r="E36" s="25">
        <f t="shared" si="1"/>
        <v>20000</v>
      </c>
      <c r="F36" s="25">
        <f>IF((F15+F9)&gt;0,20000,0)</f>
        <v>20000</v>
      </c>
      <c r="G36" s="25">
        <f>IF((G15+G9)&gt;0,20000,0)</f>
        <v>20000</v>
      </c>
      <c r="H36" s="97"/>
      <c r="M36" s="177" t="s">
        <v>299</v>
      </c>
      <c r="N36" s="178" t="s">
        <v>300</v>
      </c>
      <c r="O36" s="178" t="s">
        <v>301</v>
      </c>
    </row>
    <row r="37" spans="1:15" ht="38" customHeight="1" x14ac:dyDescent="0.35">
      <c r="A37" s="98" t="s">
        <v>306</v>
      </c>
      <c r="B37" s="96"/>
      <c r="C37" s="25">
        <f>IF(C7="Yes",ROUND((C9*14),0),0)</f>
        <v>1512</v>
      </c>
      <c r="D37" s="25">
        <f t="shared" ref="D37:G37" si="2">IF(D7="Yes",ROUND((D9*14),0),0)</f>
        <v>3024</v>
      </c>
      <c r="E37" s="25">
        <f t="shared" si="2"/>
        <v>4536</v>
      </c>
      <c r="F37" s="25">
        <f t="shared" si="2"/>
        <v>4536</v>
      </c>
      <c r="G37" s="25">
        <f t="shared" si="2"/>
        <v>4536</v>
      </c>
      <c r="H37" s="97"/>
      <c r="M37" s="177" t="s">
        <v>303</v>
      </c>
      <c r="N37" s="178" t="s">
        <v>304</v>
      </c>
      <c r="O37" s="178" t="s">
        <v>305</v>
      </c>
    </row>
    <row r="38" spans="1:15" ht="29" x14ac:dyDescent="0.35">
      <c r="A38" s="98" t="s">
        <v>308</v>
      </c>
      <c r="B38" s="96"/>
      <c r="C38" s="25">
        <f>IF(C8="Yes",ROUND((C9*77),0),0)</f>
        <v>8316</v>
      </c>
      <c r="D38" s="25">
        <f>IF(D8="Yes",ROUND((D9*77),0),0)</f>
        <v>16632</v>
      </c>
      <c r="E38" s="25">
        <f>IF(E8="Yes",ROUND((E9*77),0),0)</f>
        <v>24948</v>
      </c>
      <c r="F38" s="25">
        <f>IF(F8="Yes",ROUND((F9*77),0),0)</f>
        <v>24948</v>
      </c>
      <c r="G38" s="25">
        <f>IF(G8="Yes",ROUND((G9*77),0),0)</f>
        <v>24948</v>
      </c>
      <c r="H38" s="97"/>
      <c r="M38" s="177" t="s">
        <v>111</v>
      </c>
      <c r="N38" s="178" t="s">
        <v>307</v>
      </c>
      <c r="O38" s="178" t="s">
        <v>305</v>
      </c>
    </row>
    <row r="39" spans="1:15" ht="43.5" customHeight="1" x14ac:dyDescent="0.35">
      <c r="A39" s="98" t="s">
        <v>311</v>
      </c>
      <c r="B39" s="96"/>
      <c r="C39" s="25">
        <f>ROUND(C9*'Formula Ref &amp; Validation Data'!$B$25,0)</f>
        <v>701568</v>
      </c>
      <c r="D39" s="25">
        <f>ROUND(D9*'Formula Ref &amp; Validation Data'!$B$25,0)</f>
        <v>1403136</v>
      </c>
      <c r="E39" s="25">
        <f>ROUND(E9*'Formula Ref &amp; Validation Data'!$B$25,0)</f>
        <v>2104704</v>
      </c>
      <c r="F39" s="25">
        <f>ROUND(F9*'Formula Ref &amp; Validation Data'!$B$25,0)</f>
        <v>2104704</v>
      </c>
      <c r="G39" s="25">
        <f>ROUND(G9*'Formula Ref &amp; Validation Data'!$B$25,0)</f>
        <v>2104704</v>
      </c>
      <c r="H39" s="97"/>
      <c r="M39" s="178" t="s">
        <v>309</v>
      </c>
      <c r="N39" s="178" t="s">
        <v>313</v>
      </c>
      <c r="O39" s="178" t="s">
        <v>310</v>
      </c>
    </row>
    <row r="40" spans="1:15" ht="40.5" customHeight="1" x14ac:dyDescent="0.35">
      <c r="A40" s="98" t="s">
        <v>315</v>
      </c>
      <c r="B40" s="96"/>
      <c r="C40" s="25">
        <f>ROUND(C15*'Formula Ref &amp; Validation Data'!$B$26,0)</f>
        <v>0</v>
      </c>
      <c r="D40" s="25">
        <f>ROUND(D15*'Formula Ref &amp; Validation Data'!$B$26,0)</f>
        <v>0</v>
      </c>
      <c r="E40" s="25">
        <f>ROUND(E15*'Formula Ref &amp; Validation Data'!$B$26,0)</f>
        <v>0</v>
      </c>
      <c r="F40" s="25">
        <f>ROUND(F15*'Formula Ref &amp; Validation Data'!$B$26,0)</f>
        <v>0</v>
      </c>
      <c r="G40" s="25">
        <f>ROUND(G15*'Formula Ref &amp; Validation Data'!$B$26,0)</f>
        <v>0</v>
      </c>
      <c r="H40" s="97"/>
      <c r="M40" s="178" t="s">
        <v>312</v>
      </c>
      <c r="N40" s="178" t="s">
        <v>314</v>
      </c>
      <c r="O40" s="178" t="s">
        <v>310</v>
      </c>
    </row>
    <row r="41" spans="1:15" x14ac:dyDescent="0.35">
      <c r="A41" s="128" t="s">
        <v>164</v>
      </c>
      <c r="B41" s="96"/>
      <c r="C41" s="25">
        <f>ROUND(SUM(C34:C40),0)</f>
        <v>1122797</v>
      </c>
      <c r="D41" s="25">
        <f t="shared" ref="D41:G41" si="3">ROUND(SUM(D34:D40),0)</f>
        <v>2121533</v>
      </c>
      <c r="E41" s="25">
        <f t="shared" si="3"/>
        <v>3323396</v>
      </c>
      <c r="F41" s="25">
        <f t="shared" si="3"/>
        <v>3335326</v>
      </c>
      <c r="G41" s="25">
        <f t="shared" si="3"/>
        <v>3347257</v>
      </c>
      <c r="H41" s="97"/>
      <c r="M41" s="94"/>
      <c r="N41" s="94"/>
      <c r="O41" s="94"/>
    </row>
    <row r="42" spans="1:15" ht="29" x14ac:dyDescent="0.35">
      <c r="A42" s="98" t="s">
        <v>316</v>
      </c>
      <c r="B42" s="96"/>
      <c r="C42" s="25">
        <f>ROUND(-C41*0.01,0)</f>
        <v>-11228</v>
      </c>
      <c r="D42" s="25">
        <f>ROUND(-D41*0.02,0)</f>
        <v>-42431</v>
      </c>
      <c r="E42" s="25">
        <f t="shared" ref="E42:G42" si="4">ROUND(-E41*0.02,0)</f>
        <v>-66468</v>
      </c>
      <c r="F42" s="25">
        <f t="shared" si="4"/>
        <v>-66707</v>
      </c>
      <c r="G42" s="25">
        <f t="shared" si="4"/>
        <v>-66945</v>
      </c>
      <c r="H42" s="97"/>
      <c r="M42" s="177" t="s">
        <v>316</v>
      </c>
      <c r="N42" s="178" t="s">
        <v>317</v>
      </c>
      <c r="O42" s="177"/>
    </row>
    <row r="43" spans="1:15" x14ac:dyDescent="0.35">
      <c r="A43" s="128" t="s">
        <v>162</v>
      </c>
      <c r="B43" s="96"/>
      <c r="C43" s="25">
        <f>ROUND(SUM(C41:C42),0)</f>
        <v>1111569</v>
      </c>
      <c r="D43" s="25">
        <f t="shared" ref="D43:G43" si="5">ROUND(SUM(D41:D42),0)</f>
        <v>2079102</v>
      </c>
      <c r="E43" s="25">
        <f t="shared" si="5"/>
        <v>3256928</v>
      </c>
      <c r="F43" s="25">
        <f t="shared" si="5"/>
        <v>3268619</v>
      </c>
      <c r="G43" s="25">
        <f t="shared" si="5"/>
        <v>3280312</v>
      </c>
      <c r="H43" s="97"/>
    </row>
    <row r="44" spans="1:15" x14ac:dyDescent="0.35">
      <c r="A44" s="128" t="s">
        <v>163</v>
      </c>
      <c r="B44" s="96"/>
      <c r="C44" s="25">
        <f>ROUND(C43/(C15+C9),0)</f>
        <v>10292</v>
      </c>
      <c r="D44" s="25">
        <f>ROUND(D43/(D15+D9),0)</f>
        <v>9625</v>
      </c>
      <c r="E44" s="25">
        <f>ROUND(E43/(E15+E9),0)</f>
        <v>10052</v>
      </c>
      <c r="F44" s="25">
        <f>ROUND(F43/(F15+F9),0)</f>
        <v>10088</v>
      </c>
      <c r="G44" s="25">
        <f>ROUND(G43/(G15+G9),0)</f>
        <v>10124</v>
      </c>
      <c r="H44" s="97"/>
    </row>
    <row r="45" spans="1:15" x14ac:dyDescent="0.35">
      <c r="A45" s="98" t="s">
        <v>182</v>
      </c>
      <c r="B45" s="96"/>
      <c r="C45" s="24"/>
      <c r="D45" s="24"/>
      <c r="E45" s="24"/>
      <c r="F45" s="24"/>
      <c r="G45" s="24"/>
      <c r="H45" s="97"/>
    </row>
    <row r="46" spans="1:15" x14ac:dyDescent="0.35">
      <c r="A46" s="44"/>
      <c r="B46" s="24"/>
      <c r="C46" s="24"/>
      <c r="D46" s="24"/>
      <c r="E46" s="24"/>
      <c r="F46" s="24"/>
      <c r="G46" s="24"/>
      <c r="H46" s="98"/>
    </row>
    <row r="47" spans="1:15" x14ac:dyDescent="0.35">
      <c r="A47" s="179" t="s">
        <v>118</v>
      </c>
      <c r="B47" s="24"/>
      <c r="C47" s="24"/>
      <c r="D47" s="24"/>
      <c r="E47" s="24"/>
      <c r="F47" s="24"/>
      <c r="G47" s="24"/>
      <c r="H47" s="98"/>
    </row>
    <row r="48" spans="1:15" x14ac:dyDescent="0.35">
      <c r="A48" s="44"/>
      <c r="B48" s="24"/>
      <c r="C48" s="24"/>
      <c r="D48" s="24"/>
      <c r="E48" s="24"/>
      <c r="F48" s="24"/>
      <c r="G48" s="24"/>
      <c r="H48" s="98"/>
    </row>
    <row r="49" spans="1:8" x14ac:dyDescent="0.35">
      <c r="A49" s="44"/>
      <c r="B49" s="24"/>
      <c r="C49" s="24"/>
      <c r="D49" s="24"/>
      <c r="E49" s="24"/>
      <c r="F49" s="24"/>
      <c r="G49" s="24"/>
      <c r="H49" s="98"/>
    </row>
    <row r="50" spans="1:8" x14ac:dyDescent="0.35">
      <c r="A50" s="179" t="s">
        <v>115</v>
      </c>
      <c r="B50" s="24">
        <v>10000</v>
      </c>
      <c r="C50" s="24"/>
      <c r="D50" s="24"/>
      <c r="E50" s="24"/>
      <c r="F50" s="24"/>
      <c r="G50" s="24"/>
      <c r="H50" s="98"/>
    </row>
    <row r="51" spans="1:8" x14ac:dyDescent="0.35">
      <c r="A51" s="44"/>
      <c r="B51" s="24"/>
      <c r="C51" s="24"/>
      <c r="D51" s="24"/>
      <c r="E51" s="24"/>
      <c r="F51" s="24"/>
      <c r="G51" s="24"/>
      <c r="H51" s="98"/>
    </row>
    <row r="52" spans="1:8" x14ac:dyDescent="0.35">
      <c r="A52" s="44"/>
      <c r="B52" s="24"/>
      <c r="C52" s="24"/>
      <c r="D52" s="24"/>
      <c r="E52" s="24"/>
      <c r="F52" s="24"/>
      <c r="G52" s="24"/>
      <c r="H52" s="98"/>
    </row>
    <row r="53" spans="1:8" x14ac:dyDescent="0.35">
      <c r="A53" s="44"/>
      <c r="B53" s="24"/>
      <c r="C53" s="24"/>
      <c r="D53" s="24"/>
      <c r="E53" s="24"/>
      <c r="F53" s="24"/>
      <c r="G53" s="24"/>
      <c r="H53" s="98"/>
    </row>
    <row r="54" spans="1:8" x14ac:dyDescent="0.35">
      <c r="A54" s="126" t="s">
        <v>24</v>
      </c>
      <c r="B54" s="127">
        <f>ROUND(SUM(B45:B53)+B43,0)</f>
        <v>10000</v>
      </c>
      <c r="C54" s="127">
        <f t="shared" ref="C54:G54" si="6">ROUND(SUM(C45:C53)+C43,0)</f>
        <v>1111569</v>
      </c>
      <c r="D54" s="127">
        <f t="shared" si="6"/>
        <v>2079102</v>
      </c>
      <c r="E54" s="127">
        <f t="shared" si="6"/>
        <v>3256928</v>
      </c>
      <c r="F54" s="127">
        <f t="shared" si="6"/>
        <v>3268619</v>
      </c>
      <c r="G54" s="127">
        <f t="shared" si="6"/>
        <v>3280312</v>
      </c>
      <c r="H54" s="126"/>
    </row>
    <row r="55" spans="1:8" x14ac:dyDescent="0.35">
      <c r="A55" s="206" t="s">
        <v>25</v>
      </c>
      <c r="B55" s="207"/>
      <c r="C55" s="207"/>
      <c r="D55" s="207"/>
      <c r="E55" s="207"/>
      <c r="F55" s="207"/>
      <c r="G55" s="207"/>
      <c r="H55" s="208"/>
    </row>
    <row r="56" spans="1:8" x14ac:dyDescent="0.35">
      <c r="A56" s="139" t="s">
        <v>26</v>
      </c>
      <c r="B56" s="140"/>
      <c r="C56" s="140"/>
      <c r="D56" s="140"/>
      <c r="E56" s="140"/>
      <c r="F56" s="140"/>
      <c r="G56" s="140"/>
      <c r="H56" s="141"/>
    </row>
    <row r="57" spans="1:8" ht="29" x14ac:dyDescent="0.35">
      <c r="A57" s="131" t="s">
        <v>27</v>
      </c>
      <c r="B57" s="132">
        <v>0</v>
      </c>
      <c r="C57" s="132">
        <v>87000</v>
      </c>
      <c r="D57" s="132">
        <f>C57*1.025</f>
        <v>89174.999999999985</v>
      </c>
      <c r="E57" s="132">
        <f>D57*1.025</f>
        <v>91404.374999999971</v>
      </c>
      <c r="F57" s="132">
        <f>E57*1.025</f>
        <v>93689.484374999956</v>
      </c>
      <c r="G57" s="132">
        <f>F57*1.025</f>
        <v>96031.721484374953</v>
      </c>
      <c r="H57" s="133" t="s">
        <v>355</v>
      </c>
    </row>
    <row r="58" spans="1:8" ht="145" x14ac:dyDescent="0.35">
      <c r="A58" s="133" t="s">
        <v>36</v>
      </c>
      <c r="B58" s="134">
        <v>0</v>
      </c>
      <c r="C58" s="134">
        <v>35000</v>
      </c>
      <c r="D58" s="132">
        <f>C58*1.03</f>
        <v>36050</v>
      </c>
      <c r="E58" s="132">
        <f>(D58*2)*1.03*2</f>
        <v>148526</v>
      </c>
      <c r="F58" s="132">
        <f>E58*1.03</f>
        <v>152981.78</v>
      </c>
      <c r="G58" s="132">
        <f>F58*1.03</f>
        <v>157571.2334</v>
      </c>
      <c r="H58" s="133" t="s">
        <v>364</v>
      </c>
    </row>
    <row r="59" spans="1:8" ht="43.5" x14ac:dyDescent="0.35">
      <c r="A59" s="133" t="s">
        <v>28</v>
      </c>
      <c r="B59" s="134">
        <v>0</v>
      </c>
      <c r="C59" s="134">
        <f>4*55000</f>
        <v>220000</v>
      </c>
      <c r="D59" s="134">
        <f>8*55000*1.03</f>
        <v>453200</v>
      </c>
      <c r="E59" s="134">
        <f>12*55000*1.03</f>
        <v>679800</v>
      </c>
      <c r="F59" s="134">
        <f>12*55000*1.03</f>
        <v>679800</v>
      </c>
      <c r="G59" s="134">
        <f>12*55000*1.03</f>
        <v>679800</v>
      </c>
      <c r="H59" s="133" t="s">
        <v>354</v>
      </c>
    </row>
    <row r="60" spans="1:8" x14ac:dyDescent="0.35">
      <c r="A60" s="133" t="s">
        <v>31</v>
      </c>
      <c r="B60" s="134">
        <v>0</v>
      </c>
      <c r="C60" s="134">
        <v>47000</v>
      </c>
      <c r="D60" s="134">
        <f>C60*1.5*1.03</f>
        <v>72615</v>
      </c>
      <c r="E60" s="134">
        <f>48410*1.03*2</f>
        <v>99724.6</v>
      </c>
      <c r="F60" s="134">
        <f>E60*1.03</f>
        <v>102716.338</v>
      </c>
      <c r="G60" s="134">
        <f>F60*1.03</f>
        <v>105797.82814000001</v>
      </c>
      <c r="H60" s="133" t="s">
        <v>341</v>
      </c>
    </row>
    <row r="61" spans="1:8" ht="43.5" x14ac:dyDescent="0.35">
      <c r="A61" s="133" t="s">
        <v>29</v>
      </c>
      <c r="B61" s="134">
        <v>0</v>
      </c>
      <c r="C61" s="134">
        <v>0</v>
      </c>
      <c r="D61" s="134">
        <v>0</v>
      </c>
      <c r="E61" s="134">
        <v>0</v>
      </c>
      <c r="F61" s="134">
        <v>0</v>
      </c>
      <c r="G61" s="134">
        <v>0</v>
      </c>
      <c r="H61" s="131" t="s">
        <v>356</v>
      </c>
    </row>
    <row r="62" spans="1:8" ht="58" x14ac:dyDescent="0.35">
      <c r="A62" s="133" t="s">
        <v>30</v>
      </c>
      <c r="B62" s="134">
        <v>0</v>
      </c>
      <c r="C62" s="134">
        <v>0</v>
      </c>
      <c r="D62" s="134">
        <v>0</v>
      </c>
      <c r="E62" s="134">
        <v>0</v>
      </c>
      <c r="F62" s="134">
        <v>0</v>
      </c>
      <c r="G62" s="134">
        <v>0</v>
      </c>
      <c r="H62" s="131" t="s">
        <v>352</v>
      </c>
    </row>
    <row r="63" spans="1:8" ht="101.5" x14ac:dyDescent="0.35">
      <c r="A63" s="133" t="s">
        <v>32</v>
      </c>
      <c r="B63" s="134">
        <v>0</v>
      </c>
      <c r="C63" s="134">
        <v>56000</v>
      </c>
      <c r="D63" s="134">
        <f>C63*1.03</f>
        <v>57680</v>
      </c>
      <c r="E63" s="134">
        <f>D63*1.03*2+3000</f>
        <v>121820.8</v>
      </c>
      <c r="F63" s="134">
        <f>E63*1.03+3000</f>
        <v>128475.424</v>
      </c>
      <c r="G63" s="134">
        <f>F63*1.03+3000</f>
        <v>135329.68672</v>
      </c>
      <c r="H63" s="133" t="s">
        <v>374</v>
      </c>
    </row>
    <row r="64" spans="1:8" ht="72.5" x14ac:dyDescent="0.35">
      <c r="A64" s="133" t="s">
        <v>33</v>
      </c>
      <c r="B64" s="134">
        <v>0</v>
      </c>
      <c r="C64" s="134">
        <v>22000</v>
      </c>
      <c r="D64" s="134">
        <f>C64*1.03*2</f>
        <v>45320</v>
      </c>
      <c r="E64" s="134">
        <f>D64*1.03</f>
        <v>46679.6</v>
      </c>
      <c r="F64" s="134">
        <f>E64*1.03</f>
        <v>48079.987999999998</v>
      </c>
      <c r="G64" s="134">
        <f>F64*1.03</f>
        <v>49522.387640000001</v>
      </c>
      <c r="H64" s="133" t="s">
        <v>363</v>
      </c>
    </row>
    <row r="65" spans="1:8" ht="43.5" x14ac:dyDescent="0.35">
      <c r="A65" s="133" t="s">
        <v>34</v>
      </c>
      <c r="B65" s="134">
        <v>0</v>
      </c>
      <c r="C65" s="134">
        <v>21600</v>
      </c>
      <c r="D65" s="134">
        <f>C65*1.03</f>
        <v>22248</v>
      </c>
      <c r="E65" s="134">
        <f>D65*1.03</f>
        <v>22915.440000000002</v>
      </c>
      <c r="F65" s="134">
        <f t="shared" ref="F65:G65" si="7">E65*1.03</f>
        <v>23602.903200000004</v>
      </c>
      <c r="G65" s="134">
        <f t="shared" si="7"/>
        <v>24310.990296000004</v>
      </c>
      <c r="H65" s="133" t="s">
        <v>332</v>
      </c>
    </row>
    <row r="66" spans="1:8" ht="58" x14ac:dyDescent="0.35">
      <c r="A66" s="133" t="s">
        <v>35</v>
      </c>
      <c r="B66" s="134">
        <v>0</v>
      </c>
      <c r="C66" s="134">
        <v>38000</v>
      </c>
      <c r="D66" s="134">
        <f>C66*1.03</f>
        <v>39140</v>
      </c>
      <c r="E66" s="134">
        <f t="shared" ref="E66:G66" si="8">D66*1.03</f>
        <v>40314.200000000004</v>
      </c>
      <c r="F66" s="134">
        <f t="shared" si="8"/>
        <v>41523.626000000004</v>
      </c>
      <c r="G66" s="134">
        <f t="shared" si="8"/>
        <v>42769.334780000005</v>
      </c>
      <c r="H66" s="133" t="s">
        <v>333</v>
      </c>
    </row>
    <row r="67" spans="1:8" ht="43.5" x14ac:dyDescent="0.35">
      <c r="A67" s="133" t="s">
        <v>37</v>
      </c>
      <c r="B67" s="134">
        <v>0</v>
      </c>
      <c r="C67" s="134">
        <v>0</v>
      </c>
      <c r="D67" s="134">
        <f>C67*1.03</f>
        <v>0</v>
      </c>
      <c r="E67" s="134">
        <v>0</v>
      </c>
      <c r="F67" s="134">
        <v>0</v>
      </c>
      <c r="G67" s="134">
        <v>0</v>
      </c>
      <c r="H67" s="133" t="s">
        <v>373</v>
      </c>
    </row>
    <row r="68" spans="1:8" ht="58" x14ac:dyDescent="0.35">
      <c r="A68" s="133" t="s">
        <v>38</v>
      </c>
      <c r="B68" s="134">
        <v>0</v>
      </c>
      <c r="C68" s="134">
        <v>1000</v>
      </c>
      <c r="D68" s="134">
        <v>1000</v>
      </c>
      <c r="E68" s="134">
        <v>1000</v>
      </c>
      <c r="F68" s="134">
        <v>1000</v>
      </c>
      <c r="G68" s="134">
        <v>1000</v>
      </c>
      <c r="H68" s="133" t="s">
        <v>361</v>
      </c>
    </row>
    <row r="69" spans="1:8" ht="58" x14ac:dyDescent="0.35">
      <c r="A69" s="133" t="s">
        <v>206</v>
      </c>
      <c r="B69" s="134">
        <v>0</v>
      </c>
      <c r="C69" s="134">
        <f>SUM(C59+C60+C63)*0.1998</f>
        <v>64535.4</v>
      </c>
      <c r="D69" s="134">
        <f t="shared" ref="D69:G69" si="9">SUM(D59+D60+D63)*0.1998</f>
        <v>116582.30100000001</v>
      </c>
      <c r="E69" s="134">
        <f t="shared" si="9"/>
        <v>180088.81092000002</v>
      </c>
      <c r="F69" s="134">
        <f t="shared" si="9"/>
        <v>182016.15404759999</v>
      </c>
      <c r="G69" s="134">
        <f t="shared" si="9"/>
        <v>184001.317469028</v>
      </c>
      <c r="H69" s="133" t="s">
        <v>342</v>
      </c>
    </row>
    <row r="70" spans="1:8" ht="29" x14ac:dyDescent="0.35">
      <c r="A70" s="133" t="s">
        <v>39</v>
      </c>
      <c r="B70" s="134">
        <v>0</v>
      </c>
      <c r="C70" s="134">
        <f>C27*5500</f>
        <v>49500</v>
      </c>
      <c r="D70" s="134">
        <f t="shared" ref="D70:G70" si="10">D27*5500</f>
        <v>71500</v>
      </c>
      <c r="E70" s="134">
        <f t="shared" si="10"/>
        <v>110000</v>
      </c>
      <c r="F70" s="134">
        <f t="shared" si="10"/>
        <v>110000</v>
      </c>
      <c r="G70" s="134">
        <f t="shared" si="10"/>
        <v>110000</v>
      </c>
      <c r="H70" s="133" t="s">
        <v>343</v>
      </c>
    </row>
    <row r="71" spans="1:8" x14ac:dyDescent="0.35">
      <c r="A71" s="133" t="s">
        <v>209</v>
      </c>
      <c r="B71" s="134">
        <v>0</v>
      </c>
      <c r="C71" s="134">
        <f>SUM(C57:C66)*0.0765</f>
        <v>40284.9</v>
      </c>
      <c r="D71" s="134">
        <f t="shared" ref="D71:G71" si="11">SUM(D57:D66)*0.0765</f>
        <v>62380.241999999998</v>
      </c>
      <c r="E71" s="134">
        <f t="shared" si="11"/>
        <v>95715.653647499988</v>
      </c>
      <c r="F71" s="134">
        <f t="shared" si="11"/>
        <v>97221.520083487485</v>
      </c>
      <c r="G71" s="134">
        <f t="shared" si="11"/>
        <v>98771.688458218676</v>
      </c>
      <c r="H71" s="133"/>
    </row>
    <row r="72" spans="1:8" ht="29" x14ac:dyDescent="0.35">
      <c r="A72" s="133" t="s">
        <v>40</v>
      </c>
      <c r="B72" s="134">
        <v>0</v>
      </c>
      <c r="C72" s="134">
        <v>0</v>
      </c>
      <c r="D72" s="134">
        <v>0</v>
      </c>
      <c r="E72" s="134">
        <v>0</v>
      </c>
      <c r="F72" s="134">
        <v>0</v>
      </c>
      <c r="G72" s="134">
        <v>0</v>
      </c>
      <c r="H72" s="133" t="s">
        <v>344</v>
      </c>
    </row>
    <row r="73" spans="1:8" ht="43.5" x14ac:dyDescent="0.35">
      <c r="A73" s="133" t="s">
        <v>119</v>
      </c>
      <c r="B73" s="134">
        <v>0</v>
      </c>
      <c r="C73" s="134">
        <v>0</v>
      </c>
      <c r="D73" s="134">
        <v>0</v>
      </c>
      <c r="E73" s="134">
        <f>E21*2000+E22*4000+E23*4000+E24*1000</f>
        <v>72000</v>
      </c>
      <c r="F73" s="134">
        <f t="shared" ref="F73:G73" si="12">F21*2000+F22*4000+F23*4000+F24*1000</f>
        <v>72000</v>
      </c>
      <c r="G73" s="134">
        <f t="shared" si="12"/>
        <v>72000</v>
      </c>
      <c r="H73" s="133" t="s">
        <v>362</v>
      </c>
    </row>
    <row r="74" spans="1:8" x14ac:dyDescent="0.35">
      <c r="A74" s="133"/>
      <c r="B74" s="134"/>
      <c r="C74" s="134"/>
      <c r="D74" s="134"/>
      <c r="E74" s="134"/>
      <c r="F74" s="134"/>
      <c r="G74" s="134"/>
      <c r="H74" s="133"/>
    </row>
    <row r="75" spans="1:8" x14ac:dyDescent="0.35">
      <c r="A75" s="135" t="s">
        <v>41</v>
      </c>
      <c r="B75" s="136">
        <f>ROUND(SUM(B57:B74),0)</f>
        <v>0</v>
      </c>
      <c r="C75" s="136">
        <f t="shared" ref="C75:G75" si="13">ROUND(SUM(C57:C74),0)</f>
        <v>681920</v>
      </c>
      <c r="D75" s="136">
        <f t="shared" si="13"/>
        <v>1066891</v>
      </c>
      <c r="E75" s="136">
        <f t="shared" si="13"/>
        <v>1709989</v>
      </c>
      <c r="F75" s="136">
        <f t="shared" si="13"/>
        <v>1733107</v>
      </c>
      <c r="G75" s="136">
        <f t="shared" si="13"/>
        <v>1756906</v>
      </c>
      <c r="H75" s="137"/>
    </row>
    <row r="76" spans="1:8" x14ac:dyDescent="0.35">
      <c r="A76" s="139" t="s">
        <v>42</v>
      </c>
      <c r="B76" s="140"/>
      <c r="C76" s="140"/>
      <c r="D76" s="140"/>
      <c r="E76" s="140"/>
      <c r="F76" s="140"/>
      <c r="G76" s="140"/>
      <c r="H76" s="141"/>
    </row>
    <row r="77" spans="1:8" ht="72.5" x14ac:dyDescent="0.35">
      <c r="A77" s="131" t="s">
        <v>43</v>
      </c>
      <c r="B77" s="132">
        <v>0</v>
      </c>
      <c r="C77" s="132">
        <f>C13*20</f>
        <v>2160</v>
      </c>
      <c r="D77" s="132">
        <f t="shared" ref="D77:G77" si="14">D13*20</f>
        <v>4320</v>
      </c>
      <c r="E77" s="132">
        <f t="shared" si="14"/>
        <v>6480</v>
      </c>
      <c r="F77" s="132">
        <f t="shared" si="14"/>
        <v>6480</v>
      </c>
      <c r="G77" s="132">
        <f t="shared" si="14"/>
        <v>6480</v>
      </c>
      <c r="H77" s="131" t="s">
        <v>378</v>
      </c>
    </row>
    <row r="78" spans="1:8" x14ac:dyDescent="0.35">
      <c r="A78" s="133" t="s">
        <v>46</v>
      </c>
      <c r="B78" s="134">
        <v>0</v>
      </c>
      <c r="C78" s="134">
        <f>C13*50</f>
        <v>5400</v>
      </c>
      <c r="D78" s="134">
        <f t="shared" ref="D78:G78" si="15">D13*50</f>
        <v>10800</v>
      </c>
      <c r="E78" s="134">
        <f t="shared" si="15"/>
        <v>16200</v>
      </c>
      <c r="F78" s="134">
        <f t="shared" si="15"/>
        <v>16200</v>
      </c>
      <c r="G78" s="134">
        <f t="shared" si="15"/>
        <v>16200</v>
      </c>
      <c r="H78" s="133" t="s">
        <v>334</v>
      </c>
    </row>
    <row r="79" spans="1:8" ht="58" x14ac:dyDescent="0.35">
      <c r="A79" s="133" t="s">
        <v>44</v>
      </c>
      <c r="B79" s="134">
        <v>0</v>
      </c>
      <c r="C79" s="134">
        <f>C13*120</f>
        <v>12960</v>
      </c>
      <c r="D79" s="134">
        <f t="shared" ref="D79:G79" si="16">D13*120</f>
        <v>25920</v>
      </c>
      <c r="E79" s="134">
        <f t="shared" si="16"/>
        <v>38880</v>
      </c>
      <c r="F79" s="134">
        <f t="shared" si="16"/>
        <v>38880</v>
      </c>
      <c r="G79" s="134">
        <f t="shared" si="16"/>
        <v>38880</v>
      </c>
      <c r="H79" s="133" t="s">
        <v>357</v>
      </c>
    </row>
    <row r="80" spans="1:8" ht="58" x14ac:dyDescent="0.35">
      <c r="A80" s="133" t="s">
        <v>45</v>
      </c>
      <c r="B80" s="134">
        <v>0</v>
      </c>
      <c r="C80" s="134">
        <f>C13*15</f>
        <v>1620</v>
      </c>
      <c r="D80" s="134">
        <f t="shared" ref="D80:G80" si="17">D13*15</f>
        <v>3240</v>
      </c>
      <c r="E80" s="134">
        <f t="shared" si="17"/>
        <v>4860</v>
      </c>
      <c r="F80" s="134">
        <f t="shared" si="17"/>
        <v>4860</v>
      </c>
      <c r="G80" s="134">
        <f t="shared" si="17"/>
        <v>4860</v>
      </c>
      <c r="H80" s="133" t="s">
        <v>327</v>
      </c>
    </row>
    <row r="81" spans="1:8" ht="29" x14ac:dyDescent="0.35">
      <c r="A81" s="133" t="s">
        <v>47</v>
      </c>
      <c r="B81" s="134">
        <v>0</v>
      </c>
      <c r="C81" s="134">
        <v>1500</v>
      </c>
      <c r="D81" s="134">
        <f>C81*2</f>
        <v>3000</v>
      </c>
      <c r="E81" s="134">
        <f>C81*3</f>
        <v>4500</v>
      </c>
      <c r="F81" s="134">
        <v>8100</v>
      </c>
      <c r="G81" s="134">
        <v>8100</v>
      </c>
      <c r="H81" s="133" t="s">
        <v>328</v>
      </c>
    </row>
    <row r="82" spans="1:8" x14ac:dyDescent="0.35">
      <c r="A82" s="133" t="s">
        <v>48</v>
      </c>
      <c r="B82" s="134">
        <v>0</v>
      </c>
      <c r="C82" s="134">
        <f>C9*30</f>
        <v>3240</v>
      </c>
      <c r="D82" s="134">
        <f t="shared" ref="D82:G82" si="18">D9*30</f>
        <v>6480</v>
      </c>
      <c r="E82" s="134">
        <f t="shared" si="18"/>
        <v>9720</v>
      </c>
      <c r="F82" s="134">
        <f t="shared" si="18"/>
        <v>9720</v>
      </c>
      <c r="G82" s="134">
        <f t="shared" si="18"/>
        <v>9720</v>
      </c>
      <c r="H82" s="133" t="s">
        <v>335</v>
      </c>
    </row>
    <row r="83" spans="1:8" ht="87" x14ac:dyDescent="0.35">
      <c r="A83" s="133" t="s">
        <v>49</v>
      </c>
      <c r="B83" s="134">
        <v>0</v>
      </c>
      <c r="C83" s="134">
        <f>500*5</f>
        <v>2500</v>
      </c>
      <c r="D83" s="134">
        <f>500*5</f>
        <v>2500</v>
      </c>
      <c r="E83" s="134">
        <f>500*5</f>
        <v>2500</v>
      </c>
      <c r="F83" s="134">
        <v>1000</v>
      </c>
      <c r="G83" s="134">
        <v>1000</v>
      </c>
      <c r="H83" s="133" t="s">
        <v>386</v>
      </c>
    </row>
    <row r="84" spans="1:8" ht="43.5" x14ac:dyDescent="0.35">
      <c r="A84" s="133" t="s">
        <v>50</v>
      </c>
      <c r="B84" s="134">
        <v>0</v>
      </c>
      <c r="C84" s="134">
        <f>C13*20</f>
        <v>2160</v>
      </c>
      <c r="D84" s="134">
        <f t="shared" ref="D84:G84" si="19">D13*20</f>
        <v>4320</v>
      </c>
      <c r="E84" s="134">
        <f t="shared" si="19"/>
        <v>6480</v>
      </c>
      <c r="F84" s="134">
        <f t="shared" si="19"/>
        <v>6480</v>
      </c>
      <c r="G84" s="134">
        <f t="shared" si="19"/>
        <v>6480</v>
      </c>
      <c r="H84" s="133" t="s">
        <v>358</v>
      </c>
    </row>
    <row r="85" spans="1:8" ht="130.5" x14ac:dyDescent="0.35">
      <c r="A85" s="133" t="s">
        <v>51</v>
      </c>
      <c r="B85" s="134">
        <v>0</v>
      </c>
      <c r="C85" s="134">
        <v>25000</v>
      </c>
      <c r="D85" s="134">
        <v>50000</v>
      </c>
      <c r="E85" s="134">
        <v>100000</v>
      </c>
      <c r="F85" s="134">
        <v>10000</v>
      </c>
      <c r="G85" s="134">
        <v>10000</v>
      </c>
      <c r="H85" s="133" t="s">
        <v>384</v>
      </c>
    </row>
    <row r="86" spans="1:8" ht="29" x14ac:dyDescent="0.35">
      <c r="A86" s="133" t="s">
        <v>52</v>
      </c>
      <c r="B86" s="134">
        <v>0</v>
      </c>
      <c r="C86" s="134">
        <v>764</v>
      </c>
      <c r="D86" s="134">
        <v>764</v>
      </c>
      <c r="E86" s="134">
        <v>764</v>
      </c>
      <c r="F86" s="134">
        <v>764</v>
      </c>
      <c r="G86" s="134">
        <v>764</v>
      </c>
      <c r="H86" s="133" t="s">
        <v>330</v>
      </c>
    </row>
    <row r="87" spans="1:8" ht="29" x14ac:dyDescent="0.35">
      <c r="A87" s="133" t="s">
        <v>53</v>
      </c>
      <c r="B87" s="134">
        <v>0</v>
      </c>
      <c r="C87" s="134">
        <f>C13*5</f>
        <v>540</v>
      </c>
      <c r="D87" s="134">
        <f t="shared" ref="D87:G87" si="20">D13*5</f>
        <v>1080</v>
      </c>
      <c r="E87" s="134">
        <f t="shared" si="20"/>
        <v>1620</v>
      </c>
      <c r="F87" s="134">
        <f t="shared" si="20"/>
        <v>1620</v>
      </c>
      <c r="G87" s="134">
        <f t="shared" si="20"/>
        <v>1620</v>
      </c>
      <c r="H87" s="133" t="s">
        <v>336</v>
      </c>
    </row>
    <row r="88" spans="1:8" ht="72.5" x14ac:dyDescent="0.35">
      <c r="A88" s="133" t="s">
        <v>120</v>
      </c>
      <c r="B88" s="134">
        <v>0</v>
      </c>
      <c r="C88" s="134">
        <v>50</v>
      </c>
      <c r="D88" s="134">
        <v>100</v>
      </c>
      <c r="E88" s="134">
        <v>150</v>
      </c>
      <c r="F88" s="134">
        <v>150</v>
      </c>
      <c r="G88" s="134">
        <v>150</v>
      </c>
      <c r="H88" s="133" t="s">
        <v>329</v>
      </c>
    </row>
    <row r="89" spans="1:8" x14ac:dyDescent="0.35">
      <c r="A89" s="133"/>
      <c r="B89" s="134"/>
      <c r="C89" s="134"/>
      <c r="D89" s="134"/>
      <c r="E89" s="134"/>
      <c r="F89" s="134"/>
      <c r="G89" s="134"/>
      <c r="H89" s="133"/>
    </row>
    <row r="90" spans="1:8" x14ac:dyDescent="0.35">
      <c r="A90" s="133"/>
      <c r="B90" s="134"/>
      <c r="C90" s="134"/>
      <c r="D90" s="134"/>
      <c r="E90" s="134"/>
      <c r="F90" s="134"/>
      <c r="G90" s="134"/>
      <c r="H90" s="133"/>
    </row>
    <row r="91" spans="1:8" x14ac:dyDescent="0.35">
      <c r="A91" s="133"/>
      <c r="B91" s="134"/>
      <c r="C91" s="134"/>
      <c r="D91" s="134"/>
      <c r="E91" s="134"/>
      <c r="F91" s="134"/>
      <c r="G91" s="134"/>
      <c r="H91" s="133"/>
    </row>
    <row r="92" spans="1:8" x14ac:dyDescent="0.35">
      <c r="A92" s="135" t="s">
        <v>54</v>
      </c>
      <c r="B92" s="136">
        <f>ROUND(SUM(B76:B91),0)</f>
        <v>0</v>
      </c>
      <c r="C92" s="136">
        <f t="shared" ref="C92:G92" si="21">ROUND(SUM(C76:C91),0)</f>
        <v>57894</v>
      </c>
      <c r="D92" s="136">
        <f t="shared" si="21"/>
        <v>112524</v>
      </c>
      <c r="E92" s="136">
        <f t="shared" si="21"/>
        <v>192154</v>
      </c>
      <c r="F92" s="136">
        <f t="shared" si="21"/>
        <v>104254</v>
      </c>
      <c r="G92" s="136">
        <f t="shared" si="21"/>
        <v>104254</v>
      </c>
      <c r="H92" s="137"/>
    </row>
    <row r="93" spans="1:8" x14ac:dyDescent="0.35">
      <c r="A93" s="139" t="s">
        <v>108</v>
      </c>
      <c r="B93" s="140"/>
      <c r="C93" s="140"/>
      <c r="D93" s="140"/>
      <c r="E93" s="140"/>
      <c r="F93" s="140"/>
      <c r="G93" s="140"/>
      <c r="H93" s="141"/>
    </row>
    <row r="94" spans="1:8" ht="29" x14ac:dyDescent="0.35">
      <c r="A94" s="131" t="s">
        <v>55</v>
      </c>
      <c r="B94" s="132">
        <v>0</v>
      </c>
      <c r="C94" s="132">
        <v>0</v>
      </c>
      <c r="D94" s="132">
        <v>0</v>
      </c>
      <c r="E94" s="132">
        <v>0</v>
      </c>
      <c r="F94" s="132">
        <v>0</v>
      </c>
      <c r="G94" s="132">
        <v>0</v>
      </c>
      <c r="H94" s="131" t="s">
        <v>375</v>
      </c>
    </row>
    <row r="95" spans="1:8" x14ac:dyDescent="0.35">
      <c r="A95" s="133" t="s">
        <v>56</v>
      </c>
      <c r="B95" s="134">
        <v>0</v>
      </c>
      <c r="C95" s="134">
        <v>0</v>
      </c>
      <c r="D95" s="134">
        <v>0</v>
      </c>
      <c r="E95" s="134">
        <v>0</v>
      </c>
      <c r="F95" s="134">
        <v>0</v>
      </c>
      <c r="G95" s="134">
        <v>0</v>
      </c>
      <c r="H95" s="133" t="s">
        <v>337</v>
      </c>
    </row>
    <row r="96" spans="1:8" ht="29" x14ac:dyDescent="0.35">
      <c r="A96" s="133" t="s">
        <v>57</v>
      </c>
      <c r="B96" s="134">
        <v>100</v>
      </c>
      <c r="C96" s="134">
        <f>C9*20</f>
        <v>2160</v>
      </c>
      <c r="D96" s="134">
        <f t="shared" ref="D96:G96" si="22">D9*20</f>
        <v>4320</v>
      </c>
      <c r="E96" s="134">
        <f t="shared" si="22"/>
        <v>6480</v>
      </c>
      <c r="F96" s="134">
        <f t="shared" si="22"/>
        <v>6480</v>
      </c>
      <c r="G96" s="134">
        <f t="shared" si="22"/>
        <v>6480</v>
      </c>
      <c r="H96" s="133" t="s">
        <v>388</v>
      </c>
    </row>
    <row r="97" spans="1:8" ht="87" x14ac:dyDescent="0.35">
      <c r="A97" s="133" t="s">
        <v>58</v>
      </c>
      <c r="B97" s="134">
        <v>0</v>
      </c>
      <c r="C97" s="134">
        <v>2000</v>
      </c>
      <c r="D97" s="134">
        <v>500</v>
      </c>
      <c r="E97" s="134">
        <v>500</v>
      </c>
      <c r="F97" s="134">
        <v>500</v>
      </c>
      <c r="G97" s="134">
        <v>500</v>
      </c>
      <c r="H97" s="133" t="s">
        <v>383</v>
      </c>
    </row>
    <row r="98" spans="1:8" x14ac:dyDescent="0.35">
      <c r="A98" s="133" t="s">
        <v>59</v>
      </c>
      <c r="B98" s="134">
        <v>0</v>
      </c>
      <c r="C98" s="134">
        <v>1500</v>
      </c>
      <c r="D98" s="134">
        <v>500</v>
      </c>
      <c r="E98" s="134">
        <v>500</v>
      </c>
      <c r="F98" s="134">
        <v>500</v>
      </c>
      <c r="G98" s="134">
        <v>500</v>
      </c>
      <c r="H98" s="134" t="s">
        <v>376</v>
      </c>
    </row>
    <row r="99" spans="1:8" ht="29" x14ac:dyDescent="0.35">
      <c r="A99" s="133" t="s">
        <v>60</v>
      </c>
      <c r="B99" s="134">
        <v>300</v>
      </c>
      <c r="C99" s="134">
        <f>C9*50</f>
        <v>5400</v>
      </c>
      <c r="D99" s="134">
        <f t="shared" ref="D99:G99" si="23">D9*50</f>
        <v>10800</v>
      </c>
      <c r="E99" s="134">
        <f t="shared" si="23"/>
        <v>16200</v>
      </c>
      <c r="F99" s="134">
        <f t="shared" si="23"/>
        <v>16200</v>
      </c>
      <c r="G99" s="134">
        <f t="shared" si="23"/>
        <v>16200</v>
      </c>
      <c r="H99" s="133" t="s">
        <v>387</v>
      </c>
    </row>
    <row r="100" spans="1:8" ht="29" x14ac:dyDescent="0.35">
      <c r="A100" s="133" t="s">
        <v>61</v>
      </c>
      <c r="B100" s="134">
        <v>200</v>
      </c>
      <c r="C100" s="134">
        <v>324</v>
      </c>
      <c r="D100" s="134">
        <v>657.72</v>
      </c>
      <c r="E100" s="134">
        <v>1001.38</v>
      </c>
      <c r="F100" s="134">
        <v>1016.4</v>
      </c>
      <c r="G100" s="134">
        <v>1031.6500000000001</v>
      </c>
      <c r="H100" s="133" t="s">
        <v>340</v>
      </c>
    </row>
    <row r="101" spans="1:8" ht="29" x14ac:dyDescent="0.35">
      <c r="A101" s="133" t="s">
        <v>62</v>
      </c>
      <c r="B101" s="134">
        <v>0</v>
      </c>
      <c r="C101" s="134">
        <v>0</v>
      </c>
      <c r="D101" s="134">
        <v>0</v>
      </c>
      <c r="E101" s="134">
        <v>0</v>
      </c>
      <c r="F101" s="134">
        <v>0</v>
      </c>
      <c r="G101" s="134">
        <v>0</v>
      </c>
      <c r="H101" s="133" t="s">
        <v>339</v>
      </c>
    </row>
    <row r="102" spans="1:8" ht="43.5" x14ac:dyDescent="0.35">
      <c r="A102" s="133" t="s">
        <v>63</v>
      </c>
      <c r="B102" s="134">
        <v>0</v>
      </c>
      <c r="C102" s="134">
        <v>0</v>
      </c>
      <c r="D102" s="134">
        <v>0</v>
      </c>
      <c r="E102" s="134">
        <v>0</v>
      </c>
      <c r="F102" s="134">
        <v>0</v>
      </c>
      <c r="G102" s="134">
        <v>0</v>
      </c>
      <c r="H102" s="133" t="s">
        <v>359</v>
      </c>
    </row>
    <row r="103" spans="1:8" ht="58" x14ac:dyDescent="0.35">
      <c r="A103" s="133" t="s">
        <v>64</v>
      </c>
      <c r="B103" s="134">
        <v>0</v>
      </c>
      <c r="C103" s="134">
        <v>10800</v>
      </c>
      <c r="D103" s="134">
        <v>10800</v>
      </c>
      <c r="E103" s="134">
        <v>10800</v>
      </c>
      <c r="F103" s="134">
        <v>10800</v>
      </c>
      <c r="G103" s="134">
        <v>10800</v>
      </c>
      <c r="H103" s="133" t="s">
        <v>338</v>
      </c>
    </row>
    <row r="104" spans="1:8" ht="43.5" x14ac:dyDescent="0.35">
      <c r="A104" s="133" t="s">
        <v>65</v>
      </c>
      <c r="B104" s="134">
        <v>0</v>
      </c>
      <c r="C104" s="134">
        <v>0</v>
      </c>
      <c r="D104" s="134">
        <v>0</v>
      </c>
      <c r="E104" s="134">
        <v>0</v>
      </c>
      <c r="F104" s="134">
        <v>0</v>
      </c>
      <c r="G104" s="134">
        <v>0</v>
      </c>
      <c r="H104" s="133" t="s">
        <v>372</v>
      </c>
    </row>
    <row r="105" spans="1:8" ht="43.5" x14ac:dyDescent="0.35">
      <c r="A105" s="133" t="s">
        <v>66</v>
      </c>
      <c r="B105" s="134">
        <v>0</v>
      </c>
      <c r="C105" s="134">
        <v>1250</v>
      </c>
      <c r="D105" s="134">
        <v>1250</v>
      </c>
      <c r="E105" s="134">
        <v>1250</v>
      </c>
      <c r="F105" s="134">
        <v>1250</v>
      </c>
      <c r="G105" s="134">
        <v>1250</v>
      </c>
      <c r="H105" s="133" t="s">
        <v>371</v>
      </c>
    </row>
    <row r="106" spans="1:8" ht="29" x14ac:dyDescent="0.35">
      <c r="A106" s="133" t="s">
        <v>67</v>
      </c>
      <c r="B106" s="134">
        <v>0</v>
      </c>
      <c r="C106" s="182">
        <v>13940</v>
      </c>
      <c r="D106" s="182">
        <v>13940</v>
      </c>
      <c r="E106" s="182">
        <v>13940</v>
      </c>
      <c r="F106" s="182">
        <v>13940</v>
      </c>
      <c r="G106" s="182">
        <v>13940</v>
      </c>
      <c r="H106" s="133" t="s">
        <v>367</v>
      </c>
    </row>
    <row r="107" spans="1:8" ht="87" x14ac:dyDescent="0.35">
      <c r="A107" s="133" t="s">
        <v>68</v>
      </c>
      <c r="B107" s="134">
        <v>0</v>
      </c>
      <c r="C107" s="134">
        <f>C27*300</f>
        <v>2700</v>
      </c>
      <c r="D107" s="134">
        <f t="shared" ref="D107:G107" si="24">D27*300</f>
        <v>3900</v>
      </c>
      <c r="E107" s="134">
        <f t="shared" si="24"/>
        <v>6000</v>
      </c>
      <c r="F107" s="134">
        <f t="shared" si="24"/>
        <v>6000</v>
      </c>
      <c r="G107" s="134">
        <f t="shared" si="24"/>
        <v>6000</v>
      </c>
      <c r="H107" s="133" t="s">
        <v>366</v>
      </c>
    </row>
    <row r="108" spans="1:8" ht="72.5" x14ac:dyDescent="0.35">
      <c r="A108" s="133" t="s">
        <v>69</v>
      </c>
      <c r="B108" s="134">
        <v>0</v>
      </c>
      <c r="C108" s="134">
        <f>(C9*0.08)*1450</f>
        <v>12528</v>
      </c>
      <c r="D108" s="134">
        <f>(D9*0.08)*1450</f>
        <v>25056</v>
      </c>
      <c r="E108" s="134">
        <f>(E9*0.08)*1450</f>
        <v>37584</v>
      </c>
      <c r="F108" s="134">
        <f>(F9*0.08)*1450</f>
        <v>37584</v>
      </c>
      <c r="G108" s="134">
        <f>(G9*0.08)*1450</f>
        <v>37584</v>
      </c>
      <c r="H108" s="133" t="s">
        <v>369</v>
      </c>
    </row>
    <row r="109" spans="1:8" ht="29" x14ac:dyDescent="0.35">
      <c r="A109" s="133" t="s">
        <v>75</v>
      </c>
      <c r="B109" s="134">
        <v>0</v>
      </c>
      <c r="C109" s="134">
        <f>C13*90</f>
        <v>9720</v>
      </c>
      <c r="D109" s="134">
        <f t="shared" ref="D109:G109" si="25">D13*90</f>
        <v>19440</v>
      </c>
      <c r="E109" s="134">
        <f t="shared" si="25"/>
        <v>29160</v>
      </c>
      <c r="F109" s="134">
        <f t="shared" si="25"/>
        <v>29160</v>
      </c>
      <c r="G109" s="134">
        <f t="shared" si="25"/>
        <v>29160</v>
      </c>
      <c r="H109" s="133" t="s">
        <v>377</v>
      </c>
    </row>
    <row r="110" spans="1:8" ht="72.5" x14ac:dyDescent="0.35">
      <c r="A110" s="133" t="s">
        <v>70</v>
      </c>
      <c r="B110" s="134">
        <v>600</v>
      </c>
      <c r="C110" s="134">
        <f>C27*300</f>
        <v>2700</v>
      </c>
      <c r="D110" s="134">
        <v>2000</v>
      </c>
      <c r="E110" s="134">
        <v>2000</v>
      </c>
      <c r="F110" s="134">
        <v>2000</v>
      </c>
      <c r="G110" s="134">
        <v>2000</v>
      </c>
      <c r="H110" s="133" t="s">
        <v>385</v>
      </c>
    </row>
    <row r="111" spans="1:8" ht="72.5" x14ac:dyDescent="0.35">
      <c r="A111" s="133" t="s">
        <v>71</v>
      </c>
      <c r="B111" s="134">
        <v>400</v>
      </c>
      <c r="C111" s="134">
        <f>C13*10</f>
        <v>1080</v>
      </c>
      <c r="D111" s="134">
        <f>D13*10*1.03</f>
        <v>2224.8000000000002</v>
      </c>
      <c r="E111" s="134">
        <f>E13*10*1.03</f>
        <v>3337.2000000000003</v>
      </c>
      <c r="F111" s="134">
        <f t="shared" ref="F111:G111" si="26">F13*10*1.03</f>
        <v>3337.2000000000003</v>
      </c>
      <c r="G111" s="134">
        <f t="shared" si="26"/>
        <v>3337.2000000000003</v>
      </c>
      <c r="H111" s="133" t="s">
        <v>370</v>
      </c>
    </row>
    <row r="112" spans="1:8" ht="29" x14ac:dyDescent="0.35">
      <c r="A112" s="133" t="s">
        <v>72</v>
      </c>
      <c r="B112" s="134">
        <v>0</v>
      </c>
      <c r="C112" s="134">
        <f>C13*24</f>
        <v>2592</v>
      </c>
      <c r="D112" s="134">
        <f t="shared" ref="D112:G112" si="27">D13*24</f>
        <v>5184</v>
      </c>
      <c r="E112" s="134">
        <f t="shared" si="27"/>
        <v>7776</v>
      </c>
      <c r="F112" s="134">
        <f t="shared" si="27"/>
        <v>7776</v>
      </c>
      <c r="G112" s="134">
        <f t="shared" si="27"/>
        <v>7776</v>
      </c>
      <c r="H112" s="133" t="s">
        <v>368</v>
      </c>
    </row>
    <row r="113" spans="1:8" ht="72.5" x14ac:dyDescent="0.35">
      <c r="A113" s="133" t="s">
        <v>73</v>
      </c>
      <c r="B113" s="134">
        <v>0</v>
      </c>
      <c r="C113" s="134">
        <v>918</v>
      </c>
      <c r="D113" s="134">
        <v>918</v>
      </c>
      <c r="E113" s="134">
        <v>918</v>
      </c>
      <c r="F113" s="134">
        <v>918</v>
      </c>
      <c r="G113" s="134">
        <v>918</v>
      </c>
      <c r="H113" s="133" t="s">
        <v>345</v>
      </c>
    </row>
    <row r="114" spans="1:8" ht="43.5" x14ac:dyDescent="0.35">
      <c r="A114" s="133" t="s">
        <v>74</v>
      </c>
      <c r="B114" s="134">
        <v>0</v>
      </c>
      <c r="C114" s="134">
        <f>C9*5.5*180</f>
        <v>106920</v>
      </c>
      <c r="D114" s="134">
        <f>D9*5.5*180</f>
        <v>213840</v>
      </c>
      <c r="E114" s="134">
        <f>E9*5.5*180</f>
        <v>320760</v>
      </c>
      <c r="F114" s="134">
        <f>F9*5.5*180</f>
        <v>320760</v>
      </c>
      <c r="G114" s="134">
        <f>G9*5.5*180</f>
        <v>320760</v>
      </c>
      <c r="H114" s="133" t="s">
        <v>346</v>
      </c>
    </row>
    <row r="115" spans="1:8" ht="116" x14ac:dyDescent="0.35">
      <c r="A115" s="133" t="s">
        <v>111</v>
      </c>
      <c r="B115" s="134">
        <v>0</v>
      </c>
      <c r="C115" s="134">
        <v>34650</v>
      </c>
      <c r="D115" s="134">
        <v>34650</v>
      </c>
      <c r="E115" s="134">
        <v>34650</v>
      </c>
      <c r="F115" s="134">
        <v>34650</v>
      </c>
      <c r="G115" s="134">
        <v>34650</v>
      </c>
      <c r="H115" s="133" t="s">
        <v>381</v>
      </c>
    </row>
    <row r="116" spans="1:8" ht="58" x14ac:dyDescent="0.35">
      <c r="A116" s="133" t="s">
        <v>76</v>
      </c>
      <c r="B116" s="134">
        <v>0</v>
      </c>
      <c r="C116" s="134">
        <v>150</v>
      </c>
      <c r="D116" s="134">
        <v>150</v>
      </c>
      <c r="E116" s="134">
        <v>150</v>
      </c>
      <c r="F116" s="134">
        <v>150</v>
      </c>
      <c r="G116" s="134">
        <v>150</v>
      </c>
      <c r="H116" s="133" t="s">
        <v>379</v>
      </c>
    </row>
    <row r="117" spans="1:8" ht="87" x14ac:dyDescent="0.35">
      <c r="A117" s="133" t="s">
        <v>77</v>
      </c>
      <c r="B117" s="134">
        <v>0</v>
      </c>
      <c r="C117" s="134">
        <v>5120</v>
      </c>
      <c r="D117" s="134">
        <v>5120</v>
      </c>
      <c r="E117" s="134">
        <v>5120</v>
      </c>
      <c r="F117" s="134">
        <v>5120</v>
      </c>
      <c r="G117" s="134">
        <v>5120</v>
      </c>
      <c r="H117" s="133" t="s">
        <v>365</v>
      </c>
    </row>
    <row r="118" spans="1:8" ht="72.5" x14ac:dyDescent="0.35">
      <c r="A118" s="133" t="s">
        <v>78</v>
      </c>
      <c r="B118" s="134">
        <v>0</v>
      </c>
      <c r="C118" s="134">
        <v>804</v>
      </c>
      <c r="D118" s="134">
        <v>804</v>
      </c>
      <c r="E118" s="134">
        <v>804</v>
      </c>
      <c r="F118" s="134">
        <v>804</v>
      </c>
      <c r="G118" s="134">
        <v>804</v>
      </c>
      <c r="H118" s="133" t="s">
        <v>380</v>
      </c>
    </row>
    <row r="119" spans="1:8" ht="58" x14ac:dyDescent="0.35">
      <c r="A119" s="133" t="s">
        <v>79</v>
      </c>
      <c r="B119" s="134">
        <v>5000</v>
      </c>
      <c r="C119" s="134">
        <f>C9*65</f>
        <v>7020</v>
      </c>
      <c r="D119" s="134">
        <f>D9*65*1.05</f>
        <v>14742</v>
      </c>
      <c r="E119" s="134">
        <f>E9*65*1.05</f>
        <v>22113</v>
      </c>
      <c r="F119" s="134">
        <f t="shared" ref="F119:G119" si="28">F9*65*1.05</f>
        <v>22113</v>
      </c>
      <c r="G119" s="134">
        <f t="shared" si="28"/>
        <v>22113</v>
      </c>
      <c r="H119" s="133" t="s">
        <v>382</v>
      </c>
    </row>
    <row r="120" spans="1:8" ht="43.5" x14ac:dyDescent="0.35">
      <c r="A120" s="133" t="s">
        <v>210</v>
      </c>
      <c r="B120" s="134">
        <v>0</v>
      </c>
      <c r="C120" s="134">
        <v>0</v>
      </c>
      <c r="D120" s="134">
        <v>0</v>
      </c>
      <c r="E120" s="134">
        <v>0</v>
      </c>
      <c r="F120" s="134">
        <v>0</v>
      </c>
      <c r="G120" s="134">
        <v>0</v>
      </c>
      <c r="H120" s="133" t="s">
        <v>347</v>
      </c>
    </row>
    <row r="121" spans="1:8" x14ac:dyDescent="0.35">
      <c r="A121" s="133"/>
      <c r="B121" s="134"/>
      <c r="C121" s="134"/>
      <c r="D121" s="134"/>
      <c r="E121" s="134"/>
      <c r="F121" s="134"/>
      <c r="G121" s="134"/>
      <c r="H121" s="133"/>
    </row>
    <row r="122" spans="1:8" x14ac:dyDescent="0.35">
      <c r="A122" s="138"/>
      <c r="B122" s="134"/>
      <c r="C122" s="134"/>
      <c r="D122" s="134"/>
      <c r="E122" s="134"/>
      <c r="F122" s="134"/>
      <c r="G122" s="134"/>
      <c r="H122" s="133"/>
    </row>
    <row r="123" spans="1:8" ht="29" x14ac:dyDescent="0.35">
      <c r="A123" s="135" t="s">
        <v>80</v>
      </c>
      <c r="B123" s="136">
        <f t="shared" ref="B123:G123" si="29">ROUND(SUM(B94:B122),0)</f>
        <v>6600</v>
      </c>
      <c r="C123" s="136">
        <f t="shared" si="29"/>
        <v>224276</v>
      </c>
      <c r="D123" s="136">
        <f t="shared" si="29"/>
        <v>370797</v>
      </c>
      <c r="E123" s="136">
        <f t="shared" si="29"/>
        <v>521044</v>
      </c>
      <c r="F123" s="136">
        <f t="shared" si="29"/>
        <v>521059</v>
      </c>
      <c r="G123" s="136">
        <f t="shared" si="29"/>
        <v>521074</v>
      </c>
      <c r="H123" s="137"/>
    </row>
    <row r="124" spans="1:8" x14ac:dyDescent="0.35">
      <c r="A124" s="139" t="s">
        <v>81</v>
      </c>
      <c r="B124" s="140"/>
      <c r="C124" s="140"/>
      <c r="D124" s="140"/>
      <c r="E124" s="140"/>
      <c r="F124" s="140"/>
      <c r="G124" s="140"/>
      <c r="H124" s="141"/>
    </row>
    <row r="125" spans="1:8" ht="43.5" x14ac:dyDescent="0.35">
      <c r="A125" s="131" t="s">
        <v>82</v>
      </c>
      <c r="B125" s="132">
        <v>0</v>
      </c>
      <c r="C125" s="132">
        <v>92795.94</v>
      </c>
      <c r="D125" s="132">
        <v>95924.2</v>
      </c>
      <c r="E125" s="132">
        <v>98389.92</v>
      </c>
      <c r="F125" s="132">
        <v>101341.62</v>
      </c>
      <c r="G125" s="132">
        <v>104381.88</v>
      </c>
      <c r="H125" s="131" t="s">
        <v>331</v>
      </c>
    </row>
    <row r="126" spans="1:8" ht="29" x14ac:dyDescent="0.35">
      <c r="A126" s="133" t="s">
        <v>83</v>
      </c>
      <c r="B126" s="134">
        <v>0</v>
      </c>
      <c r="C126" s="134">
        <v>0</v>
      </c>
      <c r="D126" s="134">
        <v>0</v>
      </c>
      <c r="E126" s="134">
        <v>0</v>
      </c>
      <c r="F126" s="134">
        <v>0</v>
      </c>
      <c r="G126" s="134">
        <v>0</v>
      </c>
      <c r="H126" s="133" t="s">
        <v>349</v>
      </c>
    </row>
    <row r="127" spans="1:8" ht="58" x14ac:dyDescent="0.35">
      <c r="A127" s="133" t="s">
        <v>84</v>
      </c>
      <c r="B127" s="134">
        <v>0</v>
      </c>
      <c r="C127" s="134">
        <v>16000</v>
      </c>
      <c r="D127" s="134">
        <v>16000</v>
      </c>
      <c r="E127" s="134">
        <v>16000</v>
      </c>
      <c r="F127" s="134">
        <v>16000</v>
      </c>
      <c r="G127" s="134">
        <v>16000</v>
      </c>
      <c r="H127" s="133" t="s">
        <v>351</v>
      </c>
    </row>
    <row r="128" spans="1:8" ht="87" x14ac:dyDescent="0.35">
      <c r="A128" s="133" t="s">
        <v>85</v>
      </c>
      <c r="B128" s="134">
        <f>-B1270</f>
        <v>0</v>
      </c>
      <c r="C128" s="134">
        <v>30000</v>
      </c>
      <c r="D128" s="134">
        <v>30000</v>
      </c>
      <c r="E128" s="134">
        <v>30000</v>
      </c>
      <c r="F128" s="134">
        <v>30000</v>
      </c>
      <c r="G128" s="134">
        <v>30000</v>
      </c>
      <c r="H128" s="133" t="s">
        <v>348</v>
      </c>
    </row>
    <row r="129" spans="1:8" ht="29" x14ac:dyDescent="0.35">
      <c r="A129" s="133" t="s">
        <v>86</v>
      </c>
      <c r="B129" s="134">
        <v>0</v>
      </c>
      <c r="C129" s="134">
        <v>0</v>
      </c>
      <c r="D129" s="134">
        <v>0</v>
      </c>
      <c r="E129" s="134">
        <v>0</v>
      </c>
      <c r="F129" s="134">
        <v>0</v>
      </c>
      <c r="G129" s="134">
        <v>0</v>
      </c>
      <c r="H129" s="133" t="s">
        <v>350</v>
      </c>
    </row>
    <row r="130" spans="1:8" x14ac:dyDescent="0.35">
      <c r="A130" s="133"/>
      <c r="B130" s="134"/>
      <c r="C130" s="134"/>
      <c r="D130" s="134"/>
      <c r="E130" s="134"/>
      <c r="F130" s="134"/>
      <c r="G130" s="134"/>
      <c r="H130" s="133"/>
    </row>
    <row r="131" spans="1:8" x14ac:dyDescent="0.35">
      <c r="A131" s="133"/>
      <c r="B131" s="134"/>
      <c r="C131" s="134"/>
      <c r="D131" s="134"/>
      <c r="E131" s="134"/>
      <c r="F131" s="134"/>
      <c r="G131" s="134"/>
      <c r="H131" s="133"/>
    </row>
    <row r="132" spans="1:8" x14ac:dyDescent="0.35">
      <c r="A132" s="135" t="s">
        <v>87</v>
      </c>
      <c r="B132" s="136">
        <f>ROUND(SUM(B125:B131),0)</f>
        <v>0</v>
      </c>
      <c r="C132" s="136">
        <f t="shared" ref="C132:G132" si="30">ROUND(SUM(C125:C131),0)</f>
        <v>138796</v>
      </c>
      <c r="D132" s="136">
        <f t="shared" si="30"/>
        <v>141924</v>
      </c>
      <c r="E132" s="136">
        <f t="shared" si="30"/>
        <v>144390</v>
      </c>
      <c r="F132" s="136">
        <f t="shared" si="30"/>
        <v>147342</v>
      </c>
      <c r="G132" s="136">
        <f t="shared" si="30"/>
        <v>150382</v>
      </c>
      <c r="H132" s="137"/>
    </row>
    <row r="133" spans="1:8" x14ac:dyDescent="0.35">
      <c r="A133" s="142" t="s">
        <v>89</v>
      </c>
      <c r="B133" s="143">
        <f t="shared" ref="B133:G133" si="31">ROUND(B132+B123+B92+B75,2)</f>
        <v>6600</v>
      </c>
      <c r="C133" s="143">
        <f t="shared" si="31"/>
        <v>1102886</v>
      </c>
      <c r="D133" s="143">
        <f t="shared" si="31"/>
        <v>1692136</v>
      </c>
      <c r="E133" s="143">
        <f t="shared" si="31"/>
        <v>2567577</v>
      </c>
      <c r="F133" s="143">
        <f t="shared" si="31"/>
        <v>2505762</v>
      </c>
      <c r="G133" s="143">
        <f t="shared" si="31"/>
        <v>2532616</v>
      </c>
      <c r="H133" s="144"/>
    </row>
    <row r="134" spans="1:8" ht="29" x14ac:dyDescent="0.35">
      <c r="A134" s="145" t="s">
        <v>255</v>
      </c>
      <c r="B134" s="96"/>
      <c r="C134" s="146"/>
      <c r="D134" s="146"/>
      <c r="E134" s="146"/>
      <c r="F134" s="146"/>
      <c r="G134" s="146"/>
      <c r="H134" s="147"/>
    </row>
    <row r="135" spans="1:8" ht="29" x14ac:dyDescent="0.35">
      <c r="A135" s="145" t="s">
        <v>256</v>
      </c>
      <c r="B135" s="96"/>
      <c r="C135" s="146"/>
      <c r="D135" s="146"/>
      <c r="E135" s="146"/>
      <c r="F135" s="146"/>
      <c r="G135" s="146"/>
      <c r="H135" s="147"/>
    </row>
    <row r="136" spans="1:8" x14ac:dyDescent="0.35">
      <c r="A136" s="148" t="s">
        <v>88</v>
      </c>
      <c r="B136" s="149">
        <f t="shared" ref="B136:G136" si="32">ROUND(B54-B134-B133+B135,2)</f>
        <v>3400</v>
      </c>
      <c r="C136" s="149">
        <f t="shared" si="32"/>
        <v>8683</v>
      </c>
      <c r="D136" s="149">
        <f t="shared" si="32"/>
        <v>386966</v>
      </c>
      <c r="E136" s="149">
        <f t="shared" si="32"/>
        <v>689351</v>
      </c>
      <c r="F136" s="149">
        <f t="shared" si="32"/>
        <v>762857</v>
      </c>
      <c r="G136" s="149">
        <f t="shared" si="32"/>
        <v>747696</v>
      </c>
      <c r="H136" s="150"/>
    </row>
    <row r="142" spans="1:8" x14ac:dyDescent="0.35">
      <c r="A142" s="14" t="s">
        <v>186</v>
      </c>
    </row>
    <row r="143" spans="1:8" x14ac:dyDescent="0.35">
      <c r="A143" t="s">
        <v>167</v>
      </c>
      <c r="B143" s="99"/>
      <c r="C143" s="15">
        <f>ROUND((C9+C15)*0.65,0)</f>
        <v>70</v>
      </c>
      <c r="D143" s="15">
        <f>ROUND((D9+D15)*0.65,0)</f>
        <v>140</v>
      </c>
      <c r="E143" s="15">
        <f>ROUND((E9+E15)*0.65,0)</f>
        <v>211</v>
      </c>
      <c r="F143" s="15">
        <f>ROUND((F9+F15)*0.65,0)</f>
        <v>211</v>
      </c>
      <c r="G143" s="15">
        <f>ROUND((G9+G15)*0.65,0)</f>
        <v>211</v>
      </c>
    </row>
    <row r="144" spans="1:8" x14ac:dyDescent="0.35">
      <c r="A144" t="str">
        <f>A22</f>
        <v>Number of Teachers</v>
      </c>
      <c r="B144" s="99"/>
      <c r="C144" s="15">
        <f>ROUND(C22*0.65,0)</f>
        <v>4</v>
      </c>
      <c r="D144" s="15">
        <f>ROUND(D22*0.65,0)</f>
        <v>7</v>
      </c>
      <c r="E144" s="15">
        <f>ROUND(E22*0.65,0)</f>
        <v>10</v>
      </c>
      <c r="F144" s="15">
        <f>ROUND(F22*0.65,0)</f>
        <v>10</v>
      </c>
      <c r="G144" s="15">
        <f>ROUND(G22*0.65,0)</f>
        <v>10</v>
      </c>
    </row>
    <row r="145" spans="1:7" x14ac:dyDescent="0.35">
      <c r="A145" t="s">
        <v>168</v>
      </c>
      <c r="B145" s="99"/>
      <c r="C145" s="15">
        <f>ROUND(+C75*0.65,0)</f>
        <v>443248</v>
      </c>
      <c r="D145" s="15">
        <f>ROUND(+D75*0.65,0)</f>
        <v>693479</v>
      </c>
      <c r="E145" s="15">
        <f>ROUND(+E75*0.65,0)</f>
        <v>1111493</v>
      </c>
      <c r="F145" s="15">
        <f>ROUND(+F75*0.65,0)</f>
        <v>1126520</v>
      </c>
      <c r="G145" s="15">
        <f>ROUND(+G75*0.65,0)</f>
        <v>1141989</v>
      </c>
    </row>
    <row r="146" spans="1:7" x14ac:dyDescent="0.35">
      <c r="A146" t="s">
        <v>89</v>
      </c>
      <c r="B146" s="99"/>
      <c r="C146" s="15">
        <f>ROUND(C133*0.65,0)</f>
        <v>716876</v>
      </c>
      <c r="D146" s="15">
        <f>ROUND(D133*0.65,0)</f>
        <v>1099888</v>
      </c>
      <c r="E146" s="15">
        <f>ROUND(E133*0.65,0)</f>
        <v>1668925</v>
      </c>
      <c r="F146" s="15">
        <f>ROUND(F133*0.65,0)</f>
        <v>1628745</v>
      </c>
      <c r="G146" s="15">
        <f>ROUND(G133*0.65,0)</f>
        <v>1646200</v>
      </c>
    </row>
    <row r="147" spans="1:7" x14ac:dyDescent="0.35">
      <c r="C147" s="15"/>
      <c r="D147" s="15"/>
      <c r="E147" s="15"/>
      <c r="F147" s="15"/>
      <c r="G147" s="15"/>
    </row>
    <row r="148" spans="1:7" x14ac:dyDescent="0.35">
      <c r="C148" s="15"/>
      <c r="D148" s="15"/>
      <c r="E148" s="15"/>
      <c r="F148" s="15"/>
      <c r="G148" s="15"/>
    </row>
    <row r="149" spans="1:7" ht="15.75" customHeight="1" x14ac:dyDescent="0.35">
      <c r="C149" s="15"/>
      <c r="D149" s="15"/>
      <c r="E149" s="15"/>
      <c r="F149" s="15"/>
      <c r="G149" s="15"/>
    </row>
    <row r="150" spans="1:7" ht="8.5" customHeight="1" x14ac:dyDescent="0.35"/>
    <row r="151" spans="1:7" x14ac:dyDescent="0.35">
      <c r="A151" s="100" t="s">
        <v>196</v>
      </c>
      <c r="B151" s="103"/>
      <c r="C151" s="103"/>
    </row>
    <row r="152" spans="1:7" x14ac:dyDescent="0.35">
      <c r="A152" t="s">
        <v>320</v>
      </c>
      <c r="B152" s="79" t="s">
        <v>321</v>
      </c>
      <c r="C152" s="79" t="s">
        <v>2</v>
      </c>
      <c r="D152" s="79" t="s">
        <v>3</v>
      </c>
      <c r="E152" s="79" t="s">
        <v>4</v>
      </c>
      <c r="F152" s="79" t="s">
        <v>5</v>
      </c>
      <c r="G152" s="79" t="s">
        <v>6</v>
      </c>
    </row>
    <row r="153" spans="1:7" x14ac:dyDescent="0.35">
      <c r="A153" s="10" t="str">
        <f t="shared" ref="A153:A184" si="33">IF(ISBLANK(A56),"",A56)</f>
        <v>Personnel</v>
      </c>
      <c r="B153" s="12"/>
      <c r="C153" s="12"/>
      <c r="D153" s="12"/>
      <c r="E153" s="12"/>
      <c r="F153" s="12"/>
      <c r="G153" s="12"/>
    </row>
    <row r="154" spans="1:7" x14ac:dyDescent="0.35">
      <c r="A154" s="10" t="str">
        <f t="shared" si="33"/>
        <v>Principal</v>
      </c>
      <c r="B154" s="12">
        <f>B57/B$133</f>
        <v>0</v>
      </c>
      <c r="C154" s="12">
        <f t="shared" ref="B154:G163" si="34">C57/C$133</f>
        <v>7.8883946300886951E-2</v>
      </c>
      <c r="D154" s="12">
        <f t="shared" si="34"/>
        <v>5.2699664802356307E-2</v>
      </c>
      <c r="E154" s="12">
        <f t="shared" si="34"/>
        <v>3.559946790300738E-2</v>
      </c>
      <c r="F154" s="12">
        <f t="shared" si="34"/>
        <v>3.7389618158069265E-2</v>
      </c>
      <c r="G154" s="12">
        <f t="shared" si="34"/>
        <v>3.7917995260384897E-2</v>
      </c>
    </row>
    <row r="155" spans="1:7" ht="29" x14ac:dyDescent="0.35">
      <c r="A155" s="10" t="str">
        <f t="shared" si="33"/>
        <v>Other Administrators (Asst. Principal, Curriculum Director…)</v>
      </c>
      <c r="B155" s="12">
        <f>B58/B$133</f>
        <v>0</v>
      </c>
      <c r="C155" s="12">
        <f t="shared" si="34"/>
        <v>3.1734920925644172E-2</v>
      </c>
      <c r="D155" s="12">
        <f t="shared" si="34"/>
        <v>2.1304434158956491E-2</v>
      </c>
      <c r="E155" s="12">
        <f t="shared" si="34"/>
        <v>5.7846755910338811E-2</v>
      </c>
      <c r="F155" s="12">
        <f t="shared" si="34"/>
        <v>6.1051999351893753E-2</v>
      </c>
      <c r="G155" s="12">
        <f t="shared" si="34"/>
        <v>6.2216788253726583E-2</v>
      </c>
    </row>
    <row r="156" spans="1:7" x14ac:dyDescent="0.35">
      <c r="A156" s="10" t="str">
        <f t="shared" si="33"/>
        <v>Teachers</v>
      </c>
      <c r="B156" s="12">
        <f t="shared" si="34"/>
        <v>0</v>
      </c>
      <c r="C156" s="12">
        <f t="shared" si="34"/>
        <v>0.1994766458183348</v>
      </c>
      <c r="D156" s="12">
        <f t="shared" si="34"/>
        <v>0.26782717228402447</v>
      </c>
      <c r="E156" s="12">
        <f t="shared" si="34"/>
        <v>0.26476323786978928</v>
      </c>
      <c r="F156" s="12">
        <f t="shared" si="34"/>
        <v>0.27129471992950649</v>
      </c>
      <c r="G156" s="12">
        <f t="shared" si="34"/>
        <v>0.26841810997008625</v>
      </c>
    </row>
    <row r="157" spans="1:7" x14ac:dyDescent="0.35">
      <c r="A157" s="10" t="str">
        <f t="shared" si="33"/>
        <v>Arts/PE/Connections Teachers</v>
      </c>
      <c r="B157" s="12">
        <f t="shared" si="34"/>
        <v>0</v>
      </c>
      <c r="C157" s="12">
        <f t="shared" si="34"/>
        <v>4.261546524300789E-2</v>
      </c>
      <c r="D157" s="12">
        <f t="shared" si="34"/>
        <v>4.2913217377326646E-2</v>
      </c>
      <c r="E157" s="12">
        <f t="shared" si="34"/>
        <v>3.8839964682656061E-2</v>
      </c>
      <c r="F157" s="12">
        <f t="shared" si="34"/>
        <v>4.0992056707700092E-2</v>
      </c>
      <c r="G157" s="12">
        <f t="shared" si="34"/>
        <v>4.1774129256073565E-2</v>
      </c>
    </row>
    <row r="158" spans="1:7" x14ac:dyDescent="0.35">
      <c r="A158" s="10" t="str">
        <f t="shared" si="33"/>
        <v>Athletics/Extracurricular Coaches</v>
      </c>
      <c r="B158" s="12">
        <f t="shared" si="34"/>
        <v>0</v>
      </c>
      <c r="C158" s="12">
        <f t="shared" si="34"/>
        <v>0</v>
      </c>
      <c r="D158" s="12">
        <f t="shared" si="34"/>
        <v>0</v>
      </c>
      <c r="E158" s="12">
        <f t="shared" si="34"/>
        <v>0</v>
      </c>
      <c r="F158" s="12">
        <f t="shared" si="34"/>
        <v>0</v>
      </c>
      <c r="G158" s="12">
        <f t="shared" si="34"/>
        <v>0</v>
      </c>
    </row>
    <row r="159" spans="1:7" x14ac:dyDescent="0.35">
      <c r="A159" s="10" t="str">
        <f t="shared" si="33"/>
        <v>Guidance Counselors</v>
      </c>
      <c r="B159" s="12">
        <f t="shared" si="34"/>
        <v>0</v>
      </c>
      <c r="C159" s="12">
        <f t="shared" si="34"/>
        <v>0</v>
      </c>
      <c r="D159" s="12">
        <f t="shared" si="34"/>
        <v>0</v>
      </c>
      <c r="E159" s="12">
        <f t="shared" si="34"/>
        <v>0</v>
      </c>
      <c r="F159" s="12">
        <f t="shared" si="34"/>
        <v>0</v>
      </c>
      <c r="G159" s="12">
        <f t="shared" si="34"/>
        <v>0</v>
      </c>
    </row>
    <row r="160" spans="1:7" x14ac:dyDescent="0.35">
      <c r="A160" s="10" t="str">
        <f t="shared" si="33"/>
        <v xml:space="preserve">Special Education Personnel </v>
      </c>
      <c r="B160" s="12">
        <f t="shared" si="34"/>
        <v>0</v>
      </c>
      <c r="C160" s="12">
        <f t="shared" si="34"/>
        <v>5.077587348103068E-2</v>
      </c>
      <c r="D160" s="12">
        <f t="shared" si="34"/>
        <v>3.4087094654330387E-2</v>
      </c>
      <c r="E160" s="12">
        <f t="shared" si="34"/>
        <v>4.7445821488508427E-2</v>
      </c>
      <c r="F160" s="12">
        <f t="shared" si="34"/>
        <v>5.1271997899241827E-2</v>
      </c>
      <c r="G160" s="12">
        <f t="shared" si="34"/>
        <v>5.3434743648464671E-2</v>
      </c>
    </row>
    <row r="161" spans="1:7" x14ac:dyDescent="0.35">
      <c r="A161" s="10" t="str">
        <f t="shared" si="33"/>
        <v>Office Manager</v>
      </c>
      <c r="B161" s="12">
        <f t="shared" si="34"/>
        <v>0</v>
      </c>
      <c r="C161" s="12">
        <f t="shared" si="34"/>
        <v>1.9947664581833481E-2</v>
      </c>
      <c r="D161" s="12">
        <f t="shared" si="34"/>
        <v>2.6782717228402444E-2</v>
      </c>
      <c r="E161" s="12">
        <f t="shared" si="34"/>
        <v>1.8180409000392198E-2</v>
      </c>
      <c r="F161" s="12">
        <f t="shared" si="34"/>
        <v>1.9187771224880894E-2</v>
      </c>
      <c r="G161" s="12">
        <f t="shared" si="34"/>
        <v>1.9553847736885496E-2</v>
      </c>
    </row>
    <row r="162" spans="1:7" x14ac:dyDescent="0.35">
      <c r="A162" s="10" t="str">
        <f t="shared" si="33"/>
        <v>Office Assistant</v>
      </c>
      <c r="B162" s="12">
        <f t="shared" si="34"/>
        <v>0</v>
      </c>
      <c r="C162" s="12">
        <f t="shared" si="34"/>
        <v>1.9584979771254691E-2</v>
      </c>
      <c r="D162" s="12">
        <f t="shared" si="34"/>
        <v>1.3147879366670291E-2</v>
      </c>
      <c r="E162" s="12">
        <f t="shared" si="34"/>
        <v>8.9249280547379888E-3</v>
      </c>
      <c r="F162" s="12">
        <f t="shared" si="34"/>
        <v>9.4194513285778946E-3</v>
      </c>
      <c r="G162" s="12">
        <f t="shared" si="34"/>
        <v>9.5991616162892455E-3</v>
      </c>
    </row>
    <row r="163" spans="1:7" x14ac:dyDescent="0.35">
      <c r="A163" s="10" t="str">
        <f t="shared" si="33"/>
        <v>Business Manager</v>
      </c>
      <c r="B163" s="12">
        <f t="shared" si="34"/>
        <v>0</v>
      </c>
      <c r="C163" s="12">
        <f t="shared" si="34"/>
        <v>3.44550570049851E-2</v>
      </c>
      <c r="D163" s="12">
        <f t="shared" si="34"/>
        <v>2.3130528515438474E-2</v>
      </c>
      <c r="E163" s="12">
        <f t="shared" si="34"/>
        <v>1.5701262318520537E-2</v>
      </c>
      <c r="F163" s="12">
        <f t="shared" si="34"/>
        <v>1.6571256966942591E-2</v>
      </c>
      <c r="G163" s="12">
        <f t="shared" si="34"/>
        <v>1.688741395458293E-2</v>
      </c>
    </row>
    <row r="164" spans="1:7" x14ac:dyDescent="0.35">
      <c r="A164" s="10" t="str">
        <f t="shared" si="33"/>
        <v>Maintenance Personnel</v>
      </c>
      <c r="B164" s="12">
        <f t="shared" ref="B164:G173" si="35">B67/B$133</f>
        <v>0</v>
      </c>
      <c r="C164" s="12">
        <f t="shared" si="35"/>
        <v>0</v>
      </c>
      <c r="D164" s="12">
        <f t="shared" si="35"/>
        <v>0</v>
      </c>
      <c r="E164" s="12">
        <f t="shared" si="35"/>
        <v>0</v>
      </c>
      <c r="F164" s="12">
        <f t="shared" si="35"/>
        <v>0</v>
      </c>
      <c r="G164" s="12">
        <f t="shared" si="35"/>
        <v>0</v>
      </c>
    </row>
    <row r="165" spans="1:7" x14ac:dyDescent="0.35">
      <c r="A165" s="10" t="str">
        <f t="shared" si="33"/>
        <v>Food Service Personnel</v>
      </c>
      <c r="B165" s="12">
        <f t="shared" si="35"/>
        <v>0</v>
      </c>
      <c r="C165" s="12">
        <f t="shared" si="35"/>
        <v>9.0671202644697639E-4</v>
      </c>
      <c r="D165" s="12">
        <f t="shared" si="35"/>
        <v>5.909690474051731E-4</v>
      </c>
      <c r="E165" s="12">
        <f t="shared" si="35"/>
        <v>3.8947225341245853E-4</v>
      </c>
      <c r="F165" s="12">
        <f t="shared" si="35"/>
        <v>3.9908019995514338E-4</v>
      </c>
      <c r="G165" s="12">
        <f t="shared" si="35"/>
        <v>3.9484864661677884E-4</v>
      </c>
    </row>
    <row r="166" spans="1:7" ht="58" x14ac:dyDescent="0.35">
      <c r="A166" s="10" t="str">
        <f t="shared" si="33"/>
        <v>Retirement Benefits - Membership in TRS is required for teachers.  (FY23 rate=19.98%, recent yrs have been in this range)</v>
      </c>
      <c r="B166" s="12">
        <f t="shared" si="35"/>
        <v>0</v>
      </c>
      <c r="C166" s="12">
        <f t="shared" si="35"/>
        <v>5.8515023311566203E-2</v>
      </c>
      <c r="D166" s="12">
        <f t="shared" si="35"/>
        <v>6.8896531366273162E-2</v>
      </c>
      <c r="E166" s="12">
        <f t="shared" si="35"/>
        <v>7.0139595003382571E-2</v>
      </c>
      <c r="F166" s="12">
        <f t="shared" si="35"/>
        <v>7.2639043152382385E-2</v>
      </c>
      <c r="G166" s="12">
        <f t="shared" si="35"/>
        <v>7.2652671178349976E-2</v>
      </c>
    </row>
    <row r="167" spans="1:7" x14ac:dyDescent="0.35">
      <c r="A167" s="10" t="str">
        <f t="shared" si="33"/>
        <v>Health Benefits</v>
      </c>
      <c r="B167" s="12">
        <f t="shared" si="35"/>
        <v>0</v>
      </c>
      <c r="C167" s="12">
        <f t="shared" si="35"/>
        <v>4.4882245309125331E-2</v>
      </c>
      <c r="D167" s="12">
        <f t="shared" si="35"/>
        <v>4.2254286889469875E-2</v>
      </c>
      <c r="E167" s="12">
        <f t="shared" si="35"/>
        <v>4.2841947875370434E-2</v>
      </c>
      <c r="F167" s="12">
        <f t="shared" si="35"/>
        <v>4.389882199506577E-2</v>
      </c>
      <c r="G167" s="12">
        <f t="shared" si="35"/>
        <v>4.3433351127845674E-2</v>
      </c>
    </row>
    <row r="168" spans="1:7" x14ac:dyDescent="0.35">
      <c r="A168" s="10" t="str">
        <f t="shared" si="33"/>
        <v>FICA (OASDI 6.2%, HI 1.45%)</v>
      </c>
      <c r="B168" s="12">
        <f t="shared" si="35"/>
        <v>0</v>
      </c>
      <c r="C168" s="12">
        <f t="shared" si="35"/>
        <v>3.6526803314213797E-2</v>
      </c>
      <c r="D168" s="12">
        <f t="shared" si="35"/>
        <v>3.6864792191644166E-2</v>
      </c>
      <c r="E168" s="12">
        <f t="shared" si="35"/>
        <v>3.7278591312938224E-2</v>
      </c>
      <c r="F168" s="12">
        <f t="shared" si="35"/>
        <v>3.8799183674861175E-2</v>
      </c>
      <c r="G168" s="12">
        <f t="shared" si="35"/>
        <v>3.8999867511781763E-2</v>
      </c>
    </row>
    <row r="169" spans="1:7" x14ac:dyDescent="0.35">
      <c r="A169" s="10" t="str">
        <f t="shared" si="33"/>
        <v>Other Payroll Expenses/Taxes</v>
      </c>
      <c r="B169" s="12">
        <f t="shared" si="35"/>
        <v>0</v>
      </c>
      <c r="C169" s="12">
        <f t="shared" si="35"/>
        <v>0</v>
      </c>
      <c r="D169" s="12">
        <f t="shared" si="35"/>
        <v>0</v>
      </c>
      <c r="E169" s="12">
        <f t="shared" si="35"/>
        <v>0</v>
      </c>
      <c r="F169" s="12">
        <f t="shared" si="35"/>
        <v>0</v>
      </c>
      <c r="G169" s="12">
        <f t="shared" si="35"/>
        <v>0</v>
      </c>
    </row>
    <row r="170" spans="1:7" x14ac:dyDescent="0.35">
      <c r="A170" s="10" t="str">
        <f t="shared" si="33"/>
        <v>Endorsement/Incentive Increases</v>
      </c>
      <c r="B170" s="12">
        <f t="shared" si="35"/>
        <v>0</v>
      </c>
      <c r="C170" s="12">
        <f t="shared" si="35"/>
        <v>0</v>
      </c>
      <c r="D170" s="12">
        <f t="shared" si="35"/>
        <v>0</v>
      </c>
      <c r="E170" s="12">
        <f t="shared" si="35"/>
        <v>2.8042002245697015E-2</v>
      </c>
      <c r="F170" s="12">
        <f t="shared" si="35"/>
        <v>2.8733774396770325E-2</v>
      </c>
      <c r="G170" s="12">
        <f t="shared" si="35"/>
        <v>2.8429102556408077E-2</v>
      </c>
    </row>
    <row r="171" spans="1:7" x14ac:dyDescent="0.35">
      <c r="A171" s="10" t="str">
        <f t="shared" si="33"/>
        <v/>
      </c>
      <c r="B171" s="12">
        <f t="shared" si="35"/>
        <v>0</v>
      </c>
      <c r="C171" s="12">
        <f t="shared" si="35"/>
        <v>0</v>
      </c>
      <c r="D171" s="12">
        <f t="shared" si="35"/>
        <v>0</v>
      </c>
      <c r="E171" s="12">
        <f t="shared" si="35"/>
        <v>0</v>
      </c>
      <c r="F171" s="12">
        <f t="shared" si="35"/>
        <v>0</v>
      </c>
      <c r="G171" s="12">
        <f t="shared" si="35"/>
        <v>0</v>
      </c>
    </row>
    <row r="172" spans="1:7" x14ac:dyDescent="0.35">
      <c r="A172" s="10" t="str">
        <f t="shared" si="33"/>
        <v>Total Personnel Expenses</v>
      </c>
      <c r="B172" s="12">
        <f t="shared" si="35"/>
        <v>0</v>
      </c>
      <c r="C172" s="12">
        <f t="shared" si="35"/>
        <v>0.61830506507472216</v>
      </c>
      <c r="D172" s="12">
        <f t="shared" si="35"/>
        <v>0.63049955795515256</v>
      </c>
      <c r="E172" s="12">
        <f t="shared" si="35"/>
        <v>0.66599326914051649</v>
      </c>
      <c r="F172" s="12">
        <f t="shared" si="35"/>
        <v>0.69164868810365865</v>
      </c>
      <c r="G172" s="12">
        <f t="shared" si="35"/>
        <v>0.69371195633289851</v>
      </c>
    </row>
    <row r="173" spans="1:7" x14ac:dyDescent="0.35">
      <c r="A173" s="10" t="str">
        <f t="shared" si="33"/>
        <v xml:space="preserve">Instructional </v>
      </c>
      <c r="B173" s="12">
        <f t="shared" si="35"/>
        <v>0</v>
      </c>
      <c r="C173" s="12">
        <f t="shared" si="35"/>
        <v>0</v>
      </c>
      <c r="D173" s="12">
        <f t="shared" si="35"/>
        <v>0</v>
      </c>
      <c r="E173" s="12">
        <f t="shared" si="35"/>
        <v>0</v>
      </c>
      <c r="F173" s="12">
        <f t="shared" si="35"/>
        <v>0</v>
      </c>
      <c r="G173" s="12">
        <f t="shared" si="35"/>
        <v>0</v>
      </c>
    </row>
    <row r="174" spans="1:7" x14ac:dyDescent="0.35">
      <c r="A174" s="10" t="str">
        <f t="shared" si="33"/>
        <v>Textbooks</v>
      </c>
      <c r="B174" s="12">
        <f t="shared" ref="B174:G183" si="36">B77/B$133</f>
        <v>0</v>
      </c>
      <c r="C174" s="12">
        <f t="shared" si="36"/>
        <v>1.9584979771254691E-3</v>
      </c>
      <c r="D174" s="12">
        <f t="shared" si="36"/>
        <v>2.5529862847903477E-3</v>
      </c>
      <c r="E174" s="12">
        <f t="shared" si="36"/>
        <v>2.5237802021127313E-3</v>
      </c>
      <c r="F174" s="12">
        <f t="shared" si="36"/>
        <v>2.5860396957093292E-3</v>
      </c>
      <c r="G174" s="12">
        <f t="shared" si="36"/>
        <v>2.558619230076727E-3</v>
      </c>
    </row>
    <row r="175" spans="1:7" x14ac:dyDescent="0.35">
      <c r="A175" s="10" t="str">
        <f t="shared" si="33"/>
        <v>Classroom Supplies</v>
      </c>
      <c r="B175" s="12">
        <f t="shared" si="36"/>
        <v>0</v>
      </c>
      <c r="C175" s="12">
        <f t="shared" si="36"/>
        <v>4.8962449428136727E-3</v>
      </c>
      <c r="D175" s="12">
        <f t="shared" si="36"/>
        <v>6.3824657119758692E-3</v>
      </c>
      <c r="E175" s="12">
        <f t="shared" si="36"/>
        <v>6.309450505281828E-3</v>
      </c>
      <c r="F175" s="12">
        <f t="shared" si="36"/>
        <v>6.4650992392733227E-3</v>
      </c>
      <c r="G175" s="12">
        <f t="shared" si="36"/>
        <v>6.3965480751918173E-3</v>
      </c>
    </row>
    <row r="176" spans="1:7" x14ac:dyDescent="0.35">
      <c r="A176" s="10" t="str">
        <f t="shared" si="33"/>
        <v>Computers</v>
      </c>
      <c r="B176" s="12">
        <f t="shared" si="36"/>
        <v>0</v>
      </c>
      <c r="C176" s="12">
        <f t="shared" si="36"/>
        <v>1.1750987862752815E-2</v>
      </c>
      <c r="D176" s="12">
        <f t="shared" si="36"/>
        <v>1.5317917708742086E-2</v>
      </c>
      <c r="E176" s="12">
        <f t="shared" si="36"/>
        <v>1.5142681212676387E-2</v>
      </c>
      <c r="F176" s="12">
        <f t="shared" si="36"/>
        <v>1.5516238174255974E-2</v>
      </c>
      <c r="G176" s="12">
        <f t="shared" si="36"/>
        <v>1.5351715380460361E-2</v>
      </c>
    </row>
    <row r="177" spans="1:7" x14ac:dyDescent="0.35">
      <c r="A177" s="10" t="str">
        <f t="shared" si="33"/>
        <v>Software</v>
      </c>
      <c r="B177" s="12">
        <f t="shared" si="36"/>
        <v>0</v>
      </c>
      <c r="C177" s="12">
        <f>C80/C$133</f>
        <v>1.4688734828441018E-3</v>
      </c>
      <c r="D177" s="12">
        <f t="shared" si="36"/>
        <v>1.9147397135927608E-3</v>
      </c>
      <c r="E177" s="12">
        <f t="shared" si="36"/>
        <v>1.8928351515845483E-3</v>
      </c>
      <c r="F177" s="12">
        <f t="shared" si="36"/>
        <v>1.9395297717819968E-3</v>
      </c>
      <c r="G177" s="12">
        <f t="shared" si="36"/>
        <v>1.9189644225575452E-3</v>
      </c>
    </row>
    <row r="178" spans="1:7" x14ac:dyDescent="0.35">
      <c r="A178" s="10" t="str">
        <f t="shared" si="33"/>
        <v>Field Trips</v>
      </c>
      <c r="B178" s="12">
        <f t="shared" si="36"/>
        <v>0</v>
      </c>
      <c r="C178" s="12">
        <f>C81/C$133</f>
        <v>1.3600680396704645E-3</v>
      </c>
      <c r="D178" s="12">
        <f t="shared" si="36"/>
        <v>1.7729071422155193E-3</v>
      </c>
      <c r="E178" s="12">
        <f t="shared" si="36"/>
        <v>1.7526251403560634E-3</v>
      </c>
      <c r="F178" s="12">
        <f t="shared" si="36"/>
        <v>3.2325496196366614E-3</v>
      </c>
      <c r="G178" s="12">
        <f t="shared" si="36"/>
        <v>3.1982740375959087E-3</v>
      </c>
    </row>
    <row r="179" spans="1:7" x14ac:dyDescent="0.35">
      <c r="A179" s="10" t="str">
        <f t="shared" si="33"/>
        <v>Instructional Equipment</v>
      </c>
      <c r="B179" s="12">
        <f t="shared" si="36"/>
        <v>0</v>
      </c>
      <c r="C179" s="12">
        <f t="shared" si="36"/>
        <v>2.9377469656882036E-3</v>
      </c>
      <c r="D179" s="12">
        <f t="shared" si="36"/>
        <v>3.8294794271855215E-3</v>
      </c>
      <c r="E179" s="12">
        <f t="shared" si="36"/>
        <v>3.7856703031690967E-3</v>
      </c>
      <c r="F179" s="12">
        <f t="shared" si="36"/>
        <v>3.8790595435639935E-3</v>
      </c>
      <c r="G179" s="12">
        <f t="shared" si="36"/>
        <v>3.8379288451150903E-3</v>
      </c>
    </row>
    <row r="180" spans="1:7" x14ac:dyDescent="0.35">
      <c r="A180" s="10" t="str">
        <f t="shared" si="33"/>
        <v>Library and Media Center</v>
      </c>
      <c r="B180" s="12">
        <f t="shared" si="36"/>
        <v>0</v>
      </c>
      <c r="C180" s="12">
        <f t="shared" si="36"/>
        <v>2.2667800661174409E-3</v>
      </c>
      <c r="D180" s="12">
        <f t="shared" si="36"/>
        <v>1.4774226185129329E-3</v>
      </c>
      <c r="E180" s="12">
        <f t="shared" si="36"/>
        <v>9.7368063353114626E-4</v>
      </c>
      <c r="F180" s="12">
        <f t="shared" si="36"/>
        <v>3.9908019995514338E-4</v>
      </c>
      <c r="G180" s="12">
        <f t="shared" si="36"/>
        <v>3.9484864661677884E-4</v>
      </c>
    </row>
    <row r="181" spans="1:7" x14ac:dyDescent="0.35">
      <c r="A181" s="10" t="str">
        <f t="shared" si="33"/>
        <v>Student Assessment</v>
      </c>
      <c r="B181" s="12">
        <f t="shared" si="36"/>
        <v>0</v>
      </c>
      <c r="C181" s="12">
        <f t="shared" si="36"/>
        <v>1.9584979771254691E-3</v>
      </c>
      <c r="D181" s="12">
        <f t="shared" si="36"/>
        <v>2.5529862847903477E-3</v>
      </c>
      <c r="E181" s="12">
        <f t="shared" si="36"/>
        <v>2.5237802021127313E-3</v>
      </c>
      <c r="F181" s="12">
        <f t="shared" si="36"/>
        <v>2.5860396957093292E-3</v>
      </c>
      <c r="G181" s="12">
        <f t="shared" si="36"/>
        <v>2.558619230076727E-3</v>
      </c>
    </row>
    <row r="182" spans="1:7" x14ac:dyDescent="0.35">
      <c r="A182" s="10" t="str">
        <f t="shared" si="33"/>
        <v>Classroom Furniture</v>
      </c>
      <c r="B182" s="12">
        <f t="shared" si="36"/>
        <v>0</v>
      </c>
      <c r="C182" s="12">
        <f t="shared" si="36"/>
        <v>2.2667800661174409E-2</v>
      </c>
      <c r="D182" s="12">
        <f t="shared" si="36"/>
        <v>2.9548452370258656E-2</v>
      </c>
      <c r="E182" s="12">
        <f t="shared" si="36"/>
        <v>3.8947225341245853E-2</v>
      </c>
      <c r="F182" s="12">
        <f t="shared" si="36"/>
        <v>3.9908019995514342E-3</v>
      </c>
      <c r="G182" s="12">
        <f t="shared" si="36"/>
        <v>3.9484864661677886E-3</v>
      </c>
    </row>
    <row r="183" spans="1:7" x14ac:dyDescent="0.35">
      <c r="A183" s="10" t="str">
        <f t="shared" si="33"/>
        <v>PE Equipment</v>
      </c>
      <c r="B183" s="12">
        <f t="shared" si="36"/>
        <v>0</v>
      </c>
      <c r="C183" s="12">
        <f t="shared" si="36"/>
        <v>6.9272798820548996E-4</v>
      </c>
      <c r="D183" s="12">
        <f t="shared" si="36"/>
        <v>4.5150035221755224E-4</v>
      </c>
      <c r="E183" s="12">
        <f t="shared" si="36"/>
        <v>2.9755680160711828E-4</v>
      </c>
      <c r="F183" s="12">
        <f t="shared" si="36"/>
        <v>3.0489727276572954E-4</v>
      </c>
      <c r="G183" s="12">
        <f t="shared" si="36"/>
        <v>3.0166436601521905E-4</v>
      </c>
    </row>
    <row r="184" spans="1:7" x14ac:dyDescent="0.35">
      <c r="A184" s="10" t="str">
        <f t="shared" si="33"/>
        <v>Art Supplies</v>
      </c>
      <c r="B184" s="12">
        <f t="shared" ref="B184:G189" si="37">B87/B$133</f>
        <v>0</v>
      </c>
      <c r="C184" s="12">
        <f t="shared" si="37"/>
        <v>4.8962449428136727E-4</v>
      </c>
      <c r="D184" s="12">
        <f t="shared" si="37"/>
        <v>6.3824657119758692E-4</v>
      </c>
      <c r="E184" s="12">
        <f t="shared" si="37"/>
        <v>6.3094505052818282E-4</v>
      </c>
      <c r="F184" s="12">
        <f t="shared" si="37"/>
        <v>6.4650992392733229E-4</v>
      </c>
      <c r="G184" s="12">
        <f t="shared" si="37"/>
        <v>6.3965480751918176E-4</v>
      </c>
    </row>
    <row r="185" spans="1:7" x14ac:dyDescent="0.35">
      <c r="A185" s="10" t="str">
        <f t="shared" ref="A185:A216" si="38">IF(ISBLANK(A88),"",A88)</f>
        <v>Accreditation Fees</v>
      </c>
      <c r="B185" s="12">
        <f t="shared" si="37"/>
        <v>0</v>
      </c>
      <c r="C185" s="12">
        <f t="shared" si="37"/>
        <v>4.533560132234882E-5</v>
      </c>
      <c r="D185" s="12">
        <f t="shared" si="37"/>
        <v>5.9096904740517312E-5</v>
      </c>
      <c r="E185" s="12">
        <f t="shared" si="37"/>
        <v>5.842083801186878E-5</v>
      </c>
      <c r="F185" s="12">
        <f t="shared" si="37"/>
        <v>5.9862029993271508E-5</v>
      </c>
      <c r="G185" s="12">
        <f t="shared" si="37"/>
        <v>5.922729699251683E-5</v>
      </c>
    </row>
    <row r="186" spans="1:7" x14ac:dyDescent="0.35">
      <c r="A186" s="10" t="str">
        <f t="shared" si="38"/>
        <v/>
      </c>
      <c r="B186" s="12">
        <f t="shared" si="37"/>
        <v>0</v>
      </c>
      <c r="C186" s="12">
        <f t="shared" si="37"/>
        <v>0</v>
      </c>
      <c r="D186" s="12">
        <f t="shared" si="37"/>
        <v>0</v>
      </c>
      <c r="E186" s="12">
        <f t="shared" si="37"/>
        <v>0</v>
      </c>
      <c r="F186" s="12">
        <f t="shared" si="37"/>
        <v>0</v>
      </c>
      <c r="G186" s="12">
        <f t="shared" si="37"/>
        <v>0</v>
      </c>
    </row>
    <row r="187" spans="1:7" x14ac:dyDescent="0.35">
      <c r="A187" s="10" t="str">
        <f t="shared" si="38"/>
        <v/>
      </c>
      <c r="B187" s="12">
        <f t="shared" si="37"/>
        <v>0</v>
      </c>
      <c r="C187" s="12">
        <f t="shared" si="37"/>
        <v>0</v>
      </c>
      <c r="D187" s="12">
        <f t="shared" si="37"/>
        <v>0</v>
      </c>
      <c r="E187" s="12">
        <f t="shared" si="37"/>
        <v>0</v>
      </c>
      <c r="F187" s="12">
        <f t="shared" si="37"/>
        <v>0</v>
      </c>
      <c r="G187" s="12">
        <f t="shared" si="37"/>
        <v>0</v>
      </c>
    </row>
    <row r="188" spans="1:7" x14ac:dyDescent="0.35">
      <c r="A188" s="10" t="str">
        <f t="shared" si="38"/>
        <v/>
      </c>
      <c r="B188" s="12">
        <f t="shared" si="37"/>
        <v>0</v>
      </c>
      <c r="C188" s="12">
        <f t="shared" si="37"/>
        <v>0</v>
      </c>
      <c r="D188" s="12">
        <f t="shared" si="37"/>
        <v>0</v>
      </c>
      <c r="E188" s="12">
        <f t="shared" si="37"/>
        <v>0</v>
      </c>
      <c r="F188" s="12">
        <f t="shared" si="37"/>
        <v>0</v>
      </c>
      <c r="G188" s="12">
        <f t="shared" si="37"/>
        <v>0</v>
      </c>
    </row>
    <row r="189" spans="1:7" x14ac:dyDescent="0.35">
      <c r="A189" s="10" t="str">
        <f t="shared" si="38"/>
        <v>Total Instructional Expenses</v>
      </c>
      <c r="B189" s="12">
        <f t="shared" si="37"/>
        <v>0</v>
      </c>
      <c r="C189" s="12">
        <f t="shared" si="37"/>
        <v>5.2493186059121254E-2</v>
      </c>
      <c r="D189" s="12">
        <f t="shared" si="37"/>
        <v>6.64982010902197E-2</v>
      </c>
      <c r="E189" s="12">
        <f t="shared" si="37"/>
        <v>7.4838651382217555E-2</v>
      </c>
      <c r="F189" s="12">
        <f t="shared" si="37"/>
        <v>4.1605707166123516E-2</v>
      </c>
      <c r="G189" s="12">
        <f t="shared" si="37"/>
        <v>4.1164550804385663E-2</v>
      </c>
    </row>
    <row r="190" spans="1:7" x14ac:dyDescent="0.35">
      <c r="A190" s="10" t="str">
        <f t="shared" si="38"/>
        <v xml:space="preserve">Services and Supplies </v>
      </c>
      <c r="B190" s="12"/>
      <c r="C190" s="12"/>
      <c r="D190" s="12"/>
      <c r="E190" s="12"/>
      <c r="F190" s="12"/>
      <c r="G190" s="12"/>
    </row>
    <row r="191" spans="1:7" x14ac:dyDescent="0.35">
      <c r="A191" s="10" t="str">
        <f t="shared" si="38"/>
        <v>Student Uniforms</v>
      </c>
      <c r="B191" s="12">
        <f t="shared" ref="B191:G200" si="39">B94/B$133</f>
        <v>0</v>
      </c>
      <c r="C191" s="12">
        <f t="shared" si="39"/>
        <v>0</v>
      </c>
      <c r="D191" s="12">
        <f t="shared" si="39"/>
        <v>0</v>
      </c>
      <c r="E191" s="12">
        <f t="shared" si="39"/>
        <v>0</v>
      </c>
      <c r="F191" s="12">
        <f t="shared" si="39"/>
        <v>0</v>
      </c>
      <c r="G191" s="12">
        <f t="shared" si="39"/>
        <v>0</v>
      </c>
    </row>
    <row r="192" spans="1:7" x14ac:dyDescent="0.35">
      <c r="A192" s="10" t="str">
        <f t="shared" si="38"/>
        <v>Athletic Program</v>
      </c>
      <c r="B192" s="12">
        <f t="shared" si="39"/>
        <v>0</v>
      </c>
      <c r="C192" s="12">
        <f t="shared" si="39"/>
        <v>0</v>
      </c>
      <c r="D192" s="12">
        <f t="shared" si="39"/>
        <v>0</v>
      </c>
      <c r="E192" s="12">
        <f t="shared" si="39"/>
        <v>0</v>
      </c>
      <c r="F192" s="12">
        <f t="shared" si="39"/>
        <v>0</v>
      </c>
      <c r="G192" s="12">
        <f t="shared" si="39"/>
        <v>0</v>
      </c>
    </row>
    <row r="193" spans="1:7" x14ac:dyDescent="0.35">
      <c r="A193" s="10" t="str">
        <f t="shared" si="38"/>
        <v>Office Supplies</v>
      </c>
      <c r="B193" s="12">
        <f t="shared" si="39"/>
        <v>1.5151515151515152E-2</v>
      </c>
      <c r="C193" s="12">
        <f t="shared" si="39"/>
        <v>1.9584979771254691E-3</v>
      </c>
      <c r="D193" s="12">
        <f t="shared" si="39"/>
        <v>2.5529862847903477E-3</v>
      </c>
      <c r="E193" s="12">
        <f t="shared" si="39"/>
        <v>2.5237802021127313E-3</v>
      </c>
      <c r="F193" s="12">
        <f t="shared" si="39"/>
        <v>2.5860396957093292E-3</v>
      </c>
      <c r="G193" s="12">
        <f t="shared" si="39"/>
        <v>2.558619230076727E-3</v>
      </c>
    </row>
    <row r="194" spans="1:7" x14ac:dyDescent="0.35">
      <c r="A194" s="10" t="str">
        <f t="shared" si="38"/>
        <v>Office Furniture</v>
      </c>
      <c r="B194" s="12">
        <f t="shared" si="39"/>
        <v>0</v>
      </c>
      <c r="C194" s="12">
        <f t="shared" si="39"/>
        <v>1.8134240528939528E-3</v>
      </c>
      <c r="D194" s="12">
        <f t="shared" si="39"/>
        <v>2.9548452370258655E-4</v>
      </c>
      <c r="E194" s="12">
        <f t="shared" si="39"/>
        <v>1.9473612670622926E-4</v>
      </c>
      <c r="F194" s="12">
        <f t="shared" si="39"/>
        <v>1.9954009997757169E-4</v>
      </c>
      <c r="G194" s="12">
        <f t="shared" si="39"/>
        <v>1.9742432330838942E-4</v>
      </c>
    </row>
    <row r="195" spans="1:7" x14ac:dyDescent="0.35">
      <c r="A195" s="10" t="str">
        <f t="shared" si="38"/>
        <v>Office Computers and Software</v>
      </c>
      <c r="B195" s="12">
        <f t="shared" si="39"/>
        <v>0</v>
      </c>
      <c r="C195" s="12">
        <f t="shared" si="39"/>
        <v>1.3600680396704645E-3</v>
      </c>
      <c r="D195" s="12">
        <f t="shared" si="39"/>
        <v>2.9548452370258655E-4</v>
      </c>
      <c r="E195" s="12">
        <f t="shared" si="39"/>
        <v>1.9473612670622926E-4</v>
      </c>
      <c r="F195" s="12">
        <f t="shared" si="39"/>
        <v>1.9954009997757169E-4</v>
      </c>
      <c r="G195" s="12">
        <f t="shared" si="39"/>
        <v>1.9742432330838942E-4</v>
      </c>
    </row>
    <row r="196" spans="1:7" x14ac:dyDescent="0.35">
      <c r="A196" s="10" t="str">
        <f t="shared" si="38"/>
        <v>Printing and Copying Services</v>
      </c>
      <c r="B196" s="12">
        <f t="shared" si="39"/>
        <v>4.5454545454545456E-2</v>
      </c>
      <c r="C196" s="12">
        <f t="shared" si="39"/>
        <v>4.8962449428136727E-3</v>
      </c>
      <c r="D196" s="12">
        <f t="shared" si="39"/>
        <v>6.3824657119758692E-3</v>
      </c>
      <c r="E196" s="12">
        <f t="shared" si="39"/>
        <v>6.309450505281828E-3</v>
      </c>
      <c r="F196" s="12">
        <f t="shared" si="39"/>
        <v>6.4650992392733227E-3</v>
      </c>
      <c r="G196" s="12">
        <f t="shared" si="39"/>
        <v>6.3965480751918173E-3</v>
      </c>
    </row>
    <row r="197" spans="1:7" x14ac:dyDescent="0.35">
      <c r="A197" s="10" t="str">
        <f t="shared" si="38"/>
        <v>Postage and Shipping</v>
      </c>
      <c r="B197" s="12">
        <f t="shared" si="39"/>
        <v>3.0303030303030304E-2</v>
      </c>
      <c r="C197" s="12">
        <f t="shared" si="39"/>
        <v>2.9377469656882038E-4</v>
      </c>
      <c r="D197" s="12">
        <f t="shared" si="39"/>
        <v>3.8869216185933046E-4</v>
      </c>
      <c r="E197" s="12">
        <f t="shared" si="39"/>
        <v>3.9000972512216769E-4</v>
      </c>
      <c r="F197" s="12">
        <f t="shared" si="39"/>
        <v>4.0562511523440774E-4</v>
      </c>
      <c r="G197" s="12">
        <f t="shared" si="39"/>
        <v>4.0734560628219994E-4</v>
      </c>
    </row>
    <row r="198" spans="1:7" x14ac:dyDescent="0.35">
      <c r="A198" s="10" t="str">
        <f t="shared" si="38"/>
        <v>Bookkeeping</v>
      </c>
      <c r="B198" s="12">
        <f t="shared" si="39"/>
        <v>0</v>
      </c>
      <c r="C198" s="12">
        <f t="shared" si="39"/>
        <v>0</v>
      </c>
      <c r="D198" s="12">
        <f t="shared" si="39"/>
        <v>0</v>
      </c>
      <c r="E198" s="12">
        <f t="shared" si="39"/>
        <v>0</v>
      </c>
      <c r="F198" s="12">
        <f t="shared" si="39"/>
        <v>0</v>
      </c>
      <c r="G198" s="12">
        <f t="shared" si="39"/>
        <v>0</v>
      </c>
    </row>
    <row r="199" spans="1:7" x14ac:dyDescent="0.35">
      <c r="A199" s="10" t="str">
        <f t="shared" si="38"/>
        <v>Audit Fees</v>
      </c>
      <c r="B199" s="12">
        <f t="shared" si="39"/>
        <v>0</v>
      </c>
      <c r="C199" s="12">
        <f t="shared" si="39"/>
        <v>0</v>
      </c>
      <c r="D199" s="12">
        <f t="shared" si="39"/>
        <v>0</v>
      </c>
      <c r="E199" s="12">
        <f t="shared" si="39"/>
        <v>0</v>
      </c>
      <c r="F199" s="12">
        <f t="shared" si="39"/>
        <v>0</v>
      </c>
      <c r="G199" s="12">
        <f t="shared" si="39"/>
        <v>0</v>
      </c>
    </row>
    <row r="200" spans="1:7" x14ac:dyDescent="0.35">
      <c r="A200" s="10" t="str">
        <f t="shared" si="38"/>
        <v>Payroll Services</v>
      </c>
      <c r="B200" s="12">
        <f>B103/B$133</f>
        <v>0</v>
      </c>
      <c r="C200" s="12">
        <f t="shared" si="39"/>
        <v>9.7924898856273455E-3</v>
      </c>
      <c r="D200" s="12">
        <f t="shared" si="39"/>
        <v>6.3824657119758692E-3</v>
      </c>
      <c r="E200" s="12">
        <f t="shared" si="39"/>
        <v>4.2063003368545517E-3</v>
      </c>
      <c r="F200" s="12">
        <f t="shared" si="39"/>
        <v>4.3100661595155488E-3</v>
      </c>
      <c r="G200" s="12">
        <f t="shared" si="39"/>
        <v>4.2643653834612116E-3</v>
      </c>
    </row>
    <row r="201" spans="1:7" x14ac:dyDescent="0.35">
      <c r="A201" s="10" t="str">
        <f t="shared" si="38"/>
        <v>Banking Fees</v>
      </c>
      <c r="B201" s="12">
        <f>B104/B$133</f>
        <v>0</v>
      </c>
      <c r="C201" s="12">
        <f t="shared" ref="B201:G210" si="40">C104/C$133</f>
        <v>0</v>
      </c>
      <c r="D201" s="12">
        <f t="shared" si="40"/>
        <v>0</v>
      </c>
      <c r="E201" s="12">
        <f t="shared" si="40"/>
        <v>0</v>
      </c>
      <c r="F201" s="12">
        <f t="shared" si="40"/>
        <v>0</v>
      </c>
      <c r="G201" s="12">
        <f t="shared" si="40"/>
        <v>0</v>
      </c>
    </row>
    <row r="202" spans="1:7" x14ac:dyDescent="0.35">
      <c r="A202" s="10" t="str">
        <f t="shared" si="38"/>
        <v>Legal Fees</v>
      </c>
      <c r="B202" s="12">
        <f t="shared" si="40"/>
        <v>0</v>
      </c>
      <c r="C202" s="12">
        <f t="shared" si="40"/>
        <v>1.1333900330587204E-3</v>
      </c>
      <c r="D202" s="12">
        <f t="shared" si="40"/>
        <v>7.3871130925646643E-4</v>
      </c>
      <c r="E202" s="12">
        <f t="shared" si="40"/>
        <v>4.8684031676557313E-4</v>
      </c>
      <c r="F202" s="12">
        <f t="shared" si="40"/>
        <v>4.9885024994392928E-4</v>
      </c>
      <c r="G202" s="12">
        <f t="shared" si="40"/>
        <v>4.9356080827097357E-4</v>
      </c>
    </row>
    <row r="203" spans="1:7" x14ac:dyDescent="0.35">
      <c r="A203" s="10" t="str">
        <f t="shared" si="38"/>
        <v>Liability and Property Insurance</v>
      </c>
      <c r="B203" s="12">
        <f t="shared" si="40"/>
        <v>0</v>
      </c>
      <c r="C203" s="12">
        <f t="shared" si="40"/>
        <v>1.2639565648670852E-2</v>
      </c>
      <c r="D203" s="12">
        <f t="shared" si="40"/>
        <v>8.2381085208281125E-3</v>
      </c>
      <c r="E203" s="12">
        <f t="shared" si="40"/>
        <v>5.4292432125696713E-3</v>
      </c>
      <c r="F203" s="12">
        <f t="shared" si="40"/>
        <v>5.5631779873746984E-3</v>
      </c>
      <c r="G203" s="12">
        <f t="shared" si="40"/>
        <v>5.5041901338378973E-3</v>
      </c>
    </row>
    <row r="204" spans="1:7" x14ac:dyDescent="0.35">
      <c r="A204" s="10" t="str">
        <f t="shared" si="38"/>
        <v>Staff Development</v>
      </c>
      <c r="B204" s="12">
        <f t="shared" si="40"/>
        <v>0</v>
      </c>
      <c r="C204" s="12">
        <f t="shared" si="40"/>
        <v>2.4481224714068364E-3</v>
      </c>
      <c r="D204" s="12">
        <f t="shared" si="40"/>
        <v>2.3047792848801753E-3</v>
      </c>
      <c r="E204" s="12">
        <f t="shared" si="40"/>
        <v>2.3368335204747509E-3</v>
      </c>
      <c r="F204" s="12">
        <f t="shared" si="40"/>
        <v>2.3944811997308603E-3</v>
      </c>
      <c r="G204" s="12">
        <f t="shared" si="40"/>
        <v>2.3690918797006732E-3</v>
      </c>
    </row>
    <row r="205" spans="1:7" ht="29" x14ac:dyDescent="0.35">
      <c r="A205" s="10" t="str">
        <f t="shared" si="38"/>
        <v>Special Education Contracted Services</v>
      </c>
      <c r="B205" s="12">
        <f t="shared" si="40"/>
        <v>0</v>
      </c>
      <c r="C205" s="12">
        <f t="shared" si="40"/>
        <v>1.1359288267327719E-2</v>
      </c>
      <c r="D205" s="12">
        <f t="shared" si="40"/>
        <v>1.4807320451784017E-2</v>
      </c>
      <c r="E205" s="12">
        <f t="shared" si="40"/>
        <v>1.4637925172253841E-2</v>
      </c>
      <c r="F205" s="12">
        <f t="shared" si="40"/>
        <v>1.4999030235114109E-2</v>
      </c>
      <c r="G205" s="12">
        <f t="shared" si="40"/>
        <v>1.4839991534445016E-2</v>
      </c>
    </row>
    <row r="206" spans="1:7" x14ac:dyDescent="0.35">
      <c r="A206" s="10" t="str">
        <f t="shared" si="38"/>
        <v>Health Services and Supplies</v>
      </c>
      <c r="B206" s="12">
        <f t="shared" si="40"/>
        <v>0</v>
      </c>
      <c r="C206" s="12">
        <f t="shared" si="40"/>
        <v>8.8132408970646101E-3</v>
      </c>
      <c r="D206" s="12">
        <f t="shared" si="40"/>
        <v>1.1488438281556565E-2</v>
      </c>
      <c r="E206" s="12">
        <f t="shared" si="40"/>
        <v>1.135701090950729E-2</v>
      </c>
      <c r="F206" s="12">
        <f t="shared" si="40"/>
        <v>1.1637178630691981E-2</v>
      </c>
      <c r="G206" s="12">
        <f t="shared" si="40"/>
        <v>1.1513786535345271E-2</v>
      </c>
    </row>
    <row r="207" spans="1:7" x14ac:dyDescent="0.35">
      <c r="A207" s="10" t="str">
        <f t="shared" si="38"/>
        <v>Staff Recruitment</v>
      </c>
      <c r="B207" s="12">
        <f t="shared" si="40"/>
        <v>9.0909090909090912E-2</v>
      </c>
      <c r="C207" s="12">
        <f t="shared" si="40"/>
        <v>2.4481224714068364E-3</v>
      </c>
      <c r="D207" s="12">
        <f t="shared" si="40"/>
        <v>1.1819380948103462E-3</v>
      </c>
      <c r="E207" s="12">
        <f t="shared" si="40"/>
        <v>7.7894450682491705E-4</v>
      </c>
      <c r="F207" s="12">
        <f t="shared" si="40"/>
        <v>7.9816039991028676E-4</v>
      </c>
      <c r="G207" s="12">
        <f t="shared" si="40"/>
        <v>7.8969729323355767E-4</v>
      </c>
    </row>
    <row r="208" spans="1:7" x14ac:dyDescent="0.35">
      <c r="A208" s="10" t="str">
        <f t="shared" si="38"/>
        <v>Student Recruitment</v>
      </c>
      <c r="B208" s="12">
        <f t="shared" si="40"/>
        <v>6.0606060606060608E-2</v>
      </c>
      <c r="C208" s="12">
        <f t="shared" si="40"/>
        <v>9.7924898856273455E-4</v>
      </c>
      <c r="D208" s="12">
        <f t="shared" si="40"/>
        <v>1.3147879366670293E-3</v>
      </c>
      <c r="E208" s="12">
        <f t="shared" si="40"/>
        <v>1.2997468040880566E-3</v>
      </c>
      <c r="F208" s="12">
        <f t="shared" si="40"/>
        <v>1.3318104432903045E-3</v>
      </c>
      <c r="G208" s="12">
        <f t="shared" si="40"/>
        <v>1.3176889034895146E-3</v>
      </c>
    </row>
    <row r="209" spans="1:7" x14ac:dyDescent="0.35">
      <c r="A209" s="10" t="str">
        <f t="shared" si="38"/>
        <v>Technology Support</v>
      </c>
      <c r="B209" s="12">
        <f t="shared" si="40"/>
        <v>0</v>
      </c>
      <c r="C209" s="12">
        <f t="shared" si="40"/>
        <v>2.350197572550563E-3</v>
      </c>
      <c r="D209" s="12">
        <f t="shared" si="40"/>
        <v>3.0635835417484173E-3</v>
      </c>
      <c r="E209" s="12">
        <f t="shared" si="40"/>
        <v>3.0285362425352775E-3</v>
      </c>
      <c r="F209" s="12">
        <f t="shared" si="40"/>
        <v>3.103247634851195E-3</v>
      </c>
      <c r="G209" s="12">
        <f t="shared" si="40"/>
        <v>3.0703430760920724E-3</v>
      </c>
    </row>
    <row r="210" spans="1:7" x14ac:dyDescent="0.35">
      <c r="A210" s="10" t="str">
        <f t="shared" si="38"/>
        <v>Phone/Internet Service</v>
      </c>
      <c r="B210" s="12">
        <f t="shared" si="40"/>
        <v>0</v>
      </c>
      <c r="C210" s="12">
        <f>C113/C$133</f>
        <v>8.3236164027832428E-4</v>
      </c>
      <c r="D210" s="12">
        <f t="shared" si="40"/>
        <v>5.4250958551794895E-4</v>
      </c>
      <c r="E210" s="12">
        <f t="shared" si="40"/>
        <v>3.5753552863263693E-4</v>
      </c>
      <c r="F210" s="12">
        <f t="shared" si="40"/>
        <v>3.6635562355882161E-4</v>
      </c>
      <c r="G210" s="12">
        <f t="shared" si="40"/>
        <v>3.6247105759420301E-4</v>
      </c>
    </row>
    <row r="211" spans="1:7" x14ac:dyDescent="0.35">
      <c r="A211" s="10" t="str">
        <f t="shared" si="38"/>
        <v>Food Service</v>
      </c>
      <c r="B211" s="12">
        <f t="shared" ref="B211:G219" si="41">B114/B$133</f>
        <v>0</v>
      </c>
      <c r="C211" s="12">
        <f>C114/C$133</f>
        <v>9.6945649867710718E-2</v>
      </c>
      <c r="D211" s="12">
        <f t="shared" si="41"/>
        <v>0.12637282109712222</v>
      </c>
      <c r="E211" s="12">
        <f t="shared" si="41"/>
        <v>0.1249271200045802</v>
      </c>
      <c r="F211" s="12">
        <f t="shared" si="41"/>
        <v>0.1280089649376118</v>
      </c>
      <c r="G211" s="12">
        <f t="shared" si="41"/>
        <v>0.12665165188879798</v>
      </c>
    </row>
    <row r="212" spans="1:7" x14ac:dyDescent="0.35">
      <c r="A212" s="10" t="str">
        <f t="shared" si="38"/>
        <v>Transportation</v>
      </c>
      <c r="B212" s="12">
        <f t="shared" si="41"/>
        <v>0</v>
      </c>
      <c r="C212" s="12">
        <f t="shared" si="41"/>
        <v>3.1417571716387732E-2</v>
      </c>
      <c r="D212" s="12">
        <f t="shared" si="41"/>
        <v>2.0477077492589247E-2</v>
      </c>
      <c r="E212" s="12">
        <f t="shared" si="41"/>
        <v>1.3495213580741688E-2</v>
      </c>
      <c r="F212" s="12">
        <f t="shared" si="41"/>
        <v>1.3828128928445718E-2</v>
      </c>
      <c r="G212" s="12">
        <f t="shared" si="41"/>
        <v>1.3681505605271387E-2</v>
      </c>
    </row>
    <row r="213" spans="1:7" x14ac:dyDescent="0.35">
      <c r="A213" s="10" t="str">
        <f t="shared" si="38"/>
        <v>Pest Control</v>
      </c>
      <c r="B213" s="12">
        <f t="shared" si="41"/>
        <v>0</v>
      </c>
      <c r="C213" s="12">
        <f t="shared" si="41"/>
        <v>1.3600680396704646E-4</v>
      </c>
      <c r="D213" s="12">
        <f t="shared" si="41"/>
        <v>8.8645357110775971E-5</v>
      </c>
      <c r="E213" s="12">
        <f t="shared" si="41"/>
        <v>5.842083801186878E-5</v>
      </c>
      <c r="F213" s="12">
        <f t="shared" si="41"/>
        <v>5.9862029993271508E-5</v>
      </c>
      <c r="G213" s="12">
        <f t="shared" si="41"/>
        <v>5.922729699251683E-5</v>
      </c>
    </row>
    <row r="214" spans="1:7" x14ac:dyDescent="0.35">
      <c r="A214" s="10" t="str">
        <f t="shared" si="38"/>
        <v>Janitorial Supplies and Services</v>
      </c>
      <c r="B214" s="12">
        <f t="shared" si="41"/>
        <v>0</v>
      </c>
      <c r="C214" s="12">
        <f t="shared" si="41"/>
        <v>4.6423655754085193E-3</v>
      </c>
      <c r="D214" s="12">
        <f t="shared" si="41"/>
        <v>3.0257615227144864E-3</v>
      </c>
      <c r="E214" s="12">
        <f t="shared" si="41"/>
        <v>1.9940979374717875E-3</v>
      </c>
      <c r="F214" s="12">
        <f t="shared" si="41"/>
        <v>2.0432906237703341E-3</v>
      </c>
      <c r="G214" s="12">
        <f t="shared" si="41"/>
        <v>2.021625070677908E-3</v>
      </c>
    </row>
    <row r="215" spans="1:7" x14ac:dyDescent="0.35">
      <c r="A215" s="10" t="str">
        <f t="shared" si="38"/>
        <v>Waste Disposal</v>
      </c>
      <c r="B215" s="12">
        <f t="shared" si="41"/>
        <v>0</v>
      </c>
      <c r="C215" s="12">
        <f t="shared" si="41"/>
        <v>7.2899646926336903E-4</v>
      </c>
      <c r="D215" s="12">
        <f t="shared" si="41"/>
        <v>4.7513911411375915E-4</v>
      </c>
      <c r="E215" s="12">
        <f t="shared" si="41"/>
        <v>3.1313569174361663E-4</v>
      </c>
      <c r="F215" s="12">
        <f t="shared" si="41"/>
        <v>3.208604807639353E-4</v>
      </c>
      <c r="G215" s="12">
        <f t="shared" si="41"/>
        <v>3.1745831187989019E-4</v>
      </c>
    </row>
    <row r="216" spans="1:7" x14ac:dyDescent="0.35">
      <c r="A216" s="10" t="str">
        <f t="shared" si="38"/>
        <v>Marketing</v>
      </c>
      <c r="B216" s="12">
        <f t="shared" si="41"/>
        <v>0.75757575757575757</v>
      </c>
      <c r="C216" s="12">
        <f t="shared" si="41"/>
        <v>6.3651184256577741E-3</v>
      </c>
      <c r="D216" s="12">
        <f t="shared" si="41"/>
        <v>8.7120656968470624E-3</v>
      </c>
      <c r="E216" s="12">
        <f t="shared" si="41"/>
        <v>8.6123999397096952E-3</v>
      </c>
      <c r="F216" s="12">
        <f t="shared" si="41"/>
        <v>8.8248604616080854E-3</v>
      </c>
      <c r="G216" s="12">
        <f t="shared" si="41"/>
        <v>8.7312881226368315E-3</v>
      </c>
    </row>
    <row r="217" spans="1:7" ht="43.5" x14ac:dyDescent="0.35">
      <c r="A217" s="10" t="str">
        <f t="shared" ref="A217:A218" si="42">IF(ISBLANK(A120),"",A120)</f>
        <v>EMO (Educational Mgt Organization)/CMO (Charter Mgt. Organization) Fees</v>
      </c>
      <c r="B217" s="12">
        <f t="shared" si="41"/>
        <v>0</v>
      </c>
      <c r="C217" s="12">
        <f t="shared" si="41"/>
        <v>0</v>
      </c>
      <c r="D217" s="12">
        <f t="shared" si="41"/>
        <v>0</v>
      </c>
      <c r="E217" s="12">
        <f t="shared" si="41"/>
        <v>0</v>
      </c>
      <c r="F217" s="12">
        <f t="shared" si="41"/>
        <v>0</v>
      </c>
      <c r="G217" s="12">
        <f t="shared" si="41"/>
        <v>0</v>
      </c>
    </row>
    <row r="218" spans="1:7" x14ac:dyDescent="0.35">
      <c r="A218" s="10" t="str">
        <f t="shared" si="42"/>
        <v/>
      </c>
      <c r="B218" s="12">
        <f t="shared" si="41"/>
        <v>0</v>
      </c>
      <c r="C218" s="12">
        <f t="shared" si="41"/>
        <v>0</v>
      </c>
      <c r="D218" s="12">
        <f t="shared" si="41"/>
        <v>0</v>
      </c>
      <c r="E218" s="12">
        <f t="shared" si="41"/>
        <v>0</v>
      </c>
      <c r="F218" s="12">
        <f t="shared" si="41"/>
        <v>0</v>
      </c>
      <c r="G218" s="12">
        <f t="shared" si="41"/>
        <v>0</v>
      </c>
    </row>
    <row r="219" spans="1:7" x14ac:dyDescent="0.35">
      <c r="A219" s="10" t="str">
        <f t="shared" ref="A219:A230" si="43">IF(ISBLANK(A122),"",A122)</f>
        <v/>
      </c>
      <c r="B219" s="12">
        <f t="shared" si="41"/>
        <v>0</v>
      </c>
      <c r="C219" s="12">
        <f t="shared" si="41"/>
        <v>0</v>
      </c>
      <c r="D219" s="12">
        <f t="shared" si="41"/>
        <v>0</v>
      </c>
      <c r="E219" s="12">
        <f t="shared" si="41"/>
        <v>0</v>
      </c>
      <c r="F219" s="12">
        <f t="shared" si="41"/>
        <v>0</v>
      </c>
      <c r="G219" s="12">
        <f t="shared" si="41"/>
        <v>0</v>
      </c>
    </row>
    <row r="220" spans="1:7" ht="29" x14ac:dyDescent="0.35">
      <c r="A220" s="10" t="str">
        <f t="shared" si="43"/>
        <v>Total Services and Supplies Expenses</v>
      </c>
      <c r="B220" s="12">
        <f t="shared" ref="B220:G220" si="44">B123/B$133</f>
        <v>1</v>
      </c>
      <c r="C220" s="12">
        <f t="shared" si="44"/>
        <v>0.20335374644342208</v>
      </c>
      <c r="D220" s="12">
        <f t="shared" si="44"/>
        <v>0.21912954987069597</v>
      </c>
      <c r="E220" s="12">
        <f t="shared" si="44"/>
        <v>0.20293218080704103</v>
      </c>
      <c r="F220" s="12">
        <f t="shared" si="44"/>
        <v>0.20794432990842707</v>
      </c>
      <c r="G220" s="12">
        <f t="shared" si="44"/>
        <v>0.20574536368719143</v>
      </c>
    </row>
    <row r="221" spans="1:7" x14ac:dyDescent="0.35">
      <c r="A221" s="10" t="str">
        <f t="shared" si="43"/>
        <v>Facilities</v>
      </c>
      <c r="B221" s="12"/>
      <c r="C221" s="12"/>
      <c r="D221" s="12"/>
      <c r="E221" s="12"/>
      <c r="F221" s="12"/>
      <c r="G221" s="12"/>
    </row>
    <row r="222" spans="1:7" x14ac:dyDescent="0.35">
      <c r="A222" s="10" t="str">
        <f t="shared" si="43"/>
        <v>Rent/Lease/Mortgage</v>
      </c>
      <c r="B222" s="12">
        <f t="shared" ref="B222:G229" si="45">B125/B$133</f>
        <v>0</v>
      </c>
      <c r="C222" s="12">
        <f t="shared" si="45"/>
        <v>8.4139194803452041E-2</v>
      </c>
      <c r="D222" s="12">
        <f t="shared" si="45"/>
        <v>5.6688233097103302E-2</v>
      </c>
      <c r="E222" s="12">
        <f t="shared" si="45"/>
        <v>3.8320143855471521E-2</v>
      </c>
      <c r="F222" s="12">
        <f t="shared" si="45"/>
        <v>4.0443433973378157E-2</v>
      </c>
      <c r="G222" s="12">
        <f t="shared" si="45"/>
        <v>4.1215044049315017E-2</v>
      </c>
    </row>
    <row r="223" spans="1:7" x14ac:dyDescent="0.35">
      <c r="A223" s="10" t="str">
        <f t="shared" si="43"/>
        <v>Grounds Maintenance</v>
      </c>
      <c r="B223" s="12">
        <f t="shared" si="45"/>
        <v>0</v>
      </c>
      <c r="C223" s="12">
        <f t="shared" si="45"/>
        <v>0</v>
      </c>
      <c r="D223" s="12">
        <f t="shared" si="45"/>
        <v>0</v>
      </c>
      <c r="E223" s="12">
        <f t="shared" si="45"/>
        <v>0</v>
      </c>
      <c r="F223" s="12">
        <f t="shared" si="45"/>
        <v>0</v>
      </c>
      <c r="G223" s="12">
        <f t="shared" si="45"/>
        <v>0</v>
      </c>
    </row>
    <row r="224" spans="1:7" x14ac:dyDescent="0.35">
      <c r="A224" s="10" t="str">
        <f t="shared" si="43"/>
        <v>Facility Maintenance and Repair</v>
      </c>
      <c r="B224" s="12">
        <f t="shared" si="45"/>
        <v>0</v>
      </c>
      <c r="C224" s="12">
        <f t="shared" si="45"/>
        <v>1.4507392423151622E-2</v>
      </c>
      <c r="D224" s="12">
        <f t="shared" si="45"/>
        <v>9.4555047584827696E-3</v>
      </c>
      <c r="E224" s="12">
        <f t="shared" si="45"/>
        <v>6.2315560545993364E-3</v>
      </c>
      <c r="F224" s="12">
        <f t="shared" si="45"/>
        <v>6.3852831992822941E-3</v>
      </c>
      <c r="G224" s="12">
        <f t="shared" si="45"/>
        <v>6.3175783458684614E-3</v>
      </c>
    </row>
    <row r="225" spans="1:7" x14ac:dyDescent="0.35">
      <c r="A225" s="10" t="str">
        <f t="shared" si="43"/>
        <v>Utilities</v>
      </c>
      <c r="B225" s="12">
        <f t="shared" si="45"/>
        <v>0</v>
      </c>
      <c r="C225" s="12">
        <f t="shared" si="45"/>
        <v>2.720136079340929E-2</v>
      </c>
      <c r="D225" s="12">
        <f t="shared" si="45"/>
        <v>1.7729071422155192E-2</v>
      </c>
      <c r="E225" s="12">
        <f t="shared" si="45"/>
        <v>1.1684167602373756E-2</v>
      </c>
      <c r="F225" s="12">
        <f t="shared" si="45"/>
        <v>1.1972405998654302E-2</v>
      </c>
      <c r="G225" s="12">
        <f t="shared" si="45"/>
        <v>1.1845459398503365E-2</v>
      </c>
    </row>
    <row r="226" spans="1:7" ht="29" x14ac:dyDescent="0.35">
      <c r="A226" s="10" t="str">
        <f t="shared" si="43"/>
        <v>Fire and Occupational Safety and Compliance</v>
      </c>
      <c r="B226" s="12">
        <f t="shared" si="45"/>
        <v>0</v>
      </c>
      <c r="C226" s="12">
        <f t="shared" si="45"/>
        <v>0</v>
      </c>
      <c r="D226" s="12">
        <f t="shared" si="45"/>
        <v>0</v>
      </c>
      <c r="E226" s="12">
        <f t="shared" si="45"/>
        <v>0</v>
      </c>
      <c r="F226" s="12">
        <f t="shared" si="45"/>
        <v>0</v>
      </c>
      <c r="G226" s="12">
        <f t="shared" si="45"/>
        <v>0</v>
      </c>
    </row>
    <row r="227" spans="1:7" x14ac:dyDescent="0.35">
      <c r="A227" s="10" t="str">
        <f t="shared" si="43"/>
        <v/>
      </c>
      <c r="B227" s="12">
        <f t="shared" si="45"/>
        <v>0</v>
      </c>
      <c r="C227" s="12">
        <f t="shared" si="45"/>
        <v>0</v>
      </c>
      <c r="D227" s="12">
        <f t="shared" si="45"/>
        <v>0</v>
      </c>
      <c r="E227" s="12">
        <f t="shared" si="45"/>
        <v>0</v>
      </c>
      <c r="F227" s="12">
        <f t="shared" si="45"/>
        <v>0</v>
      </c>
      <c r="G227" s="12">
        <f t="shared" si="45"/>
        <v>0</v>
      </c>
    </row>
    <row r="228" spans="1:7" x14ac:dyDescent="0.35">
      <c r="A228" s="10" t="str">
        <f t="shared" si="43"/>
        <v/>
      </c>
      <c r="B228" s="12">
        <f t="shared" si="45"/>
        <v>0</v>
      </c>
      <c r="C228" s="12">
        <f t="shared" si="45"/>
        <v>0</v>
      </c>
      <c r="D228" s="12">
        <f t="shared" si="45"/>
        <v>0</v>
      </c>
      <c r="E228" s="12">
        <f t="shared" si="45"/>
        <v>0</v>
      </c>
      <c r="F228" s="12">
        <f t="shared" si="45"/>
        <v>0</v>
      </c>
      <c r="G228" s="12">
        <f t="shared" si="45"/>
        <v>0</v>
      </c>
    </row>
    <row r="229" spans="1:7" x14ac:dyDescent="0.35">
      <c r="A229" s="10" t="str">
        <f t="shared" si="43"/>
        <v>Total Facilities Expenses</v>
      </c>
      <c r="B229" s="12">
        <f t="shared" si="45"/>
        <v>0</v>
      </c>
      <c r="C229" s="12">
        <f t="shared" si="45"/>
        <v>0.12584800242273453</v>
      </c>
      <c r="D229" s="12">
        <f t="shared" si="45"/>
        <v>8.3872691083931791E-2</v>
      </c>
      <c r="E229" s="12">
        <f t="shared" si="45"/>
        <v>5.6235898670224882E-2</v>
      </c>
      <c r="F229" s="12">
        <f t="shared" si="45"/>
        <v>5.8801274821790733E-2</v>
      </c>
      <c r="G229" s="12">
        <f t="shared" si="45"/>
        <v>5.9378129175524437E-2</v>
      </c>
    </row>
    <row r="230" spans="1:7" x14ac:dyDescent="0.35">
      <c r="A230" s="10" t="str">
        <f t="shared" si="43"/>
        <v>Total Expenses</v>
      </c>
      <c r="B230" s="12">
        <f t="shared" ref="B230:G230" si="46">SUM(B152:B229)/2</f>
        <v>1</v>
      </c>
      <c r="C230" s="12">
        <f t="shared" si="46"/>
        <v>1.0000001088054429</v>
      </c>
      <c r="D230" s="12">
        <f t="shared" si="46"/>
        <v>0.99999978222790653</v>
      </c>
      <c r="E230" s="12">
        <f t="shared" si="46"/>
        <v>0.99999999602105449</v>
      </c>
      <c r="F230" s="12">
        <f t="shared" si="46"/>
        <v>0.99999988779981619</v>
      </c>
      <c r="G230" s="12">
        <f t="shared" si="46"/>
        <v>0.99999998388773181</v>
      </c>
    </row>
    <row r="232" spans="1:7" x14ac:dyDescent="0.35">
      <c r="A232" s="101" t="s">
        <v>197</v>
      </c>
      <c r="B232" s="102" t="str">
        <f t="shared" ref="B232:G232" si="47">IF((B172+B189+B220+B229)=100%,"Yes","No")</f>
        <v>Yes</v>
      </c>
      <c r="C232" s="102" t="str">
        <f t="shared" si="47"/>
        <v>Yes</v>
      </c>
      <c r="D232" s="102" t="str">
        <f t="shared" si="47"/>
        <v>Yes</v>
      </c>
      <c r="E232" s="102" t="str">
        <f t="shared" si="47"/>
        <v>Yes</v>
      </c>
      <c r="F232" s="102" t="str">
        <f t="shared" si="47"/>
        <v>Yes</v>
      </c>
      <c r="G232" s="102" t="str">
        <f t="shared" si="47"/>
        <v>Yes</v>
      </c>
    </row>
    <row r="233" spans="1:7" ht="87" x14ac:dyDescent="0.35">
      <c r="A233" s="20" t="s">
        <v>322</v>
      </c>
      <c r="B233" s="46" t="str">
        <f>IF((B230-100%)&lt;1%,IF((B230-100%)&gt;-1%,"Yes","No"),"No")</f>
        <v>Yes</v>
      </c>
      <c r="C233" s="46" t="str">
        <f>IF((C230-100%)&lt;1%,IF((C230-100%)&gt;-1%,"Yes","No"),"No")</f>
        <v>Yes</v>
      </c>
      <c r="D233" s="46" t="str">
        <f t="shared" ref="D233:G233" si="48">IF((D230-100%)&lt;1%,IF((D230-100%)&gt;-1%,"Yes","No"),"No")</f>
        <v>Yes</v>
      </c>
      <c r="E233" s="46" t="str">
        <f t="shared" si="48"/>
        <v>Yes</v>
      </c>
      <c r="F233" s="46" t="str">
        <f t="shared" si="48"/>
        <v>Yes</v>
      </c>
      <c r="G233" s="46" t="str">
        <f t="shared" si="48"/>
        <v>Yes</v>
      </c>
    </row>
  </sheetData>
  <sheetProtection algorithmName="SHA-512" hashValue="V8NCkvlxNMzzmMf6mzzwmJgA+KPbbbCtVeNrirNMu6/CFS1H6vgR7WYTdEGfoIQ820LGGlJxgY6qJPXKyI0GSQ==" saltValue="SbJcHyPmt2b+nPqC9w/DNA==" spinCount="100000" sheet="1" formatColumns="0" selectLockedCells="1"/>
  <mergeCells count="4">
    <mergeCell ref="A3:H3"/>
    <mergeCell ref="A29:H29"/>
    <mergeCell ref="A55:H55"/>
    <mergeCell ref="M28:O28"/>
  </mergeCells>
  <conditionalFormatting sqref="B233">
    <cfRule type="containsText" dxfId="86" priority="5" operator="containsText" text="No">
      <formula>NOT(ISERROR(SEARCH("No",B233)))</formula>
    </cfRule>
    <cfRule type="containsText" dxfId="85" priority="6" operator="containsText" text="No">
      <formula>NOT(ISERROR(SEARCH("No",B233)))</formula>
    </cfRule>
  </conditionalFormatting>
  <conditionalFormatting sqref="D233:G233">
    <cfRule type="containsText" dxfId="84" priority="1" operator="containsText" text="No">
      <formula>NOT(ISERROR(SEARCH("No",D233)))</formula>
    </cfRule>
    <cfRule type="containsText" dxfId="83" priority="2" operator="containsText" text="No">
      <formula>NOT(ISERROR(SEARCH("No",D233)))</formula>
    </cfRule>
  </conditionalFormatting>
  <conditionalFormatting sqref="C233">
    <cfRule type="containsText" dxfId="82" priority="3" operator="containsText" text="No">
      <formula>NOT(ISERROR(SEARCH("No",C233)))</formula>
    </cfRule>
    <cfRule type="containsText" dxfId="81" priority="4" operator="containsText" text="No">
      <formula>NOT(ISERROR(SEARCH("No",C233)))</formula>
    </cfRule>
  </conditionalFormatting>
  <dataValidations count="1">
    <dataValidation type="whole" allowBlank="1" showInputMessage="1" showErrorMessage="1" error="You must enter a positive whole dollar amount.  Zero is also accepted.  " sqref="B134:G135" xr:uid="{80BEF21F-DD65-4CBE-A4D2-483A575A6F14}">
      <formula1>0</formula1>
      <formula2>300000000</formula2>
    </dataValidation>
  </dataValidations>
  <printOptions horizontalCentered="1"/>
  <pageMargins left="0" right="0" top="0.25" bottom="0.25" header="0" footer="0"/>
  <pageSetup scale="90" fitToHeight="9" orientation="landscape" r:id="rId1"/>
  <rowBreaks count="1" manualBreakCount="1">
    <brk id="141" max="7" man="1"/>
  </rowBreak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592252C9-025E-48E6-8D28-E067DDF94FAD}">
          <x14:formula1>
            <xm:f>'Formula Ref &amp; Validation Data'!$A$41:$A$42</xm:f>
          </x14:formula1>
          <xm:sqref>C7:G8</xm:sqref>
        </x14:dataValidation>
        <x14:dataValidation type="list" allowBlank="1" showInputMessage="1" showErrorMessage="1" prompt="Select 100% or 65%" xr:uid="{10A0DFB5-7F4C-45F7-B906-F3EDC939F107}">
          <x14:formula1>
            <xm:f>'Formula Ref &amp; Validation Data'!$B$41:$B$42</xm:f>
          </x14:formula1>
          <xm:sqref>A2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B6E72-CAC2-4991-9807-ADD4A0F45D60}">
  <dimension ref="A1:G45"/>
  <sheetViews>
    <sheetView topLeftCell="A11" workbookViewId="0">
      <selection activeCell="J36" sqref="J36"/>
    </sheetView>
  </sheetViews>
  <sheetFormatPr defaultColWidth="8.81640625" defaultRowHeight="14.5" x14ac:dyDescent="0.35"/>
  <cols>
    <col min="1" max="1" width="34.81640625" customWidth="1"/>
    <col min="2" max="2" width="25.36328125" customWidth="1"/>
    <col min="3" max="3" width="11.1796875" customWidth="1"/>
  </cols>
  <sheetData>
    <row r="1" spans="1:4" x14ac:dyDescent="0.35">
      <c r="A1" s="13" t="s">
        <v>129</v>
      </c>
    </row>
    <row r="3" spans="1:4" x14ac:dyDescent="0.35">
      <c r="A3" t="s">
        <v>135</v>
      </c>
    </row>
    <row r="5" spans="1:4" x14ac:dyDescent="0.35">
      <c r="A5" s="14" t="s">
        <v>136</v>
      </c>
    </row>
    <row r="6" spans="1:4" x14ac:dyDescent="0.35">
      <c r="A6" t="s">
        <v>137</v>
      </c>
      <c r="B6" t="s">
        <v>138</v>
      </c>
    </row>
    <row r="7" spans="1:4" x14ac:dyDescent="0.35">
      <c r="A7" t="s">
        <v>139</v>
      </c>
      <c r="B7" t="s">
        <v>140</v>
      </c>
    </row>
    <row r="8" spans="1:4" x14ac:dyDescent="0.35">
      <c r="A8" t="s">
        <v>144</v>
      </c>
      <c r="B8" t="s">
        <v>141</v>
      </c>
    </row>
    <row r="9" spans="1:4" x14ac:dyDescent="0.35">
      <c r="A9" t="s">
        <v>145</v>
      </c>
      <c r="B9" t="s">
        <v>142</v>
      </c>
    </row>
    <row r="10" spans="1:4" x14ac:dyDescent="0.35">
      <c r="A10" t="s">
        <v>146</v>
      </c>
      <c r="B10" t="s">
        <v>147</v>
      </c>
    </row>
    <row r="11" spans="1:4" x14ac:dyDescent="0.35">
      <c r="A11" t="s">
        <v>143</v>
      </c>
      <c r="B11" s="210" t="s">
        <v>148</v>
      </c>
      <c r="C11" s="211"/>
      <c r="D11" s="211"/>
    </row>
    <row r="12" spans="1:4" x14ac:dyDescent="0.35">
      <c r="B12" s="78"/>
      <c r="C12" s="79"/>
      <c r="D12" s="79"/>
    </row>
    <row r="13" spans="1:4" x14ac:dyDescent="0.35">
      <c r="B13" s="17" t="s">
        <v>149</v>
      </c>
    </row>
    <row r="14" spans="1:4" x14ac:dyDescent="0.35">
      <c r="A14" t="s">
        <v>130</v>
      </c>
      <c r="B14">
        <v>4664.04</v>
      </c>
    </row>
    <row r="15" spans="1:4" x14ac:dyDescent="0.35">
      <c r="A15" t="s">
        <v>131</v>
      </c>
      <c r="B15">
        <v>3611.3</v>
      </c>
    </row>
    <row r="16" spans="1:4" x14ac:dyDescent="0.35">
      <c r="A16" t="s">
        <v>132</v>
      </c>
      <c r="B16">
        <v>2898.21</v>
      </c>
    </row>
    <row r="17" spans="1:7" x14ac:dyDescent="0.35">
      <c r="A17" t="s">
        <v>133</v>
      </c>
      <c r="B17">
        <v>3174.09</v>
      </c>
    </row>
    <row r="18" spans="1:7" x14ac:dyDescent="0.35">
      <c r="A18" t="s">
        <v>134</v>
      </c>
      <c r="B18">
        <v>2789.66</v>
      </c>
    </row>
    <row r="20" spans="1:7" x14ac:dyDescent="0.35">
      <c r="C20" t="s">
        <v>151</v>
      </c>
    </row>
    <row r="21" spans="1:7" ht="43.5" x14ac:dyDescent="0.35">
      <c r="A21" s="10" t="s">
        <v>157</v>
      </c>
      <c r="B21" s="125">
        <v>20542</v>
      </c>
      <c r="C21" t="s">
        <v>240</v>
      </c>
    </row>
    <row r="22" spans="1:7" ht="29" x14ac:dyDescent="0.35">
      <c r="A22" s="10" t="s">
        <v>153</v>
      </c>
      <c r="B22" s="15">
        <f>11340</f>
        <v>11340</v>
      </c>
      <c r="C22" t="s">
        <v>152</v>
      </c>
    </row>
    <row r="23" spans="1:7" x14ac:dyDescent="0.35">
      <c r="A23" s="10" t="s">
        <v>170</v>
      </c>
      <c r="B23" s="15">
        <v>-1263</v>
      </c>
      <c r="C23" t="s">
        <v>241</v>
      </c>
    </row>
    <row r="24" spans="1:7" x14ac:dyDescent="0.35">
      <c r="A24" t="s">
        <v>150</v>
      </c>
      <c r="B24" s="3">
        <v>4.2299999999999997E-2</v>
      </c>
      <c r="C24" t="s">
        <v>156</v>
      </c>
    </row>
    <row r="25" spans="1:7" ht="29" x14ac:dyDescent="0.35">
      <c r="A25" s="10" t="s">
        <v>159</v>
      </c>
      <c r="B25" s="15">
        <v>6496</v>
      </c>
      <c r="C25" t="s">
        <v>158</v>
      </c>
    </row>
    <row r="26" spans="1:7" ht="29" x14ac:dyDescent="0.35">
      <c r="A26" s="10" t="s">
        <v>160</v>
      </c>
      <c r="B26" s="15">
        <v>3695</v>
      </c>
      <c r="C26" t="s">
        <v>158</v>
      </c>
    </row>
    <row r="28" spans="1:7" x14ac:dyDescent="0.35">
      <c r="A28" s="18" t="s">
        <v>154</v>
      </c>
    </row>
    <row r="29" spans="1:7" x14ac:dyDescent="0.35">
      <c r="A29" t="s">
        <v>155</v>
      </c>
    </row>
    <row r="31" spans="1:7" x14ac:dyDescent="0.35">
      <c r="A31" s="116" t="s">
        <v>232</v>
      </c>
      <c r="B31" s="117"/>
      <c r="C31" s="117"/>
      <c r="D31" s="117"/>
      <c r="E31" s="117"/>
      <c r="F31" s="117"/>
      <c r="G31" s="118"/>
    </row>
    <row r="32" spans="1:7" x14ac:dyDescent="0.35">
      <c r="A32" s="119" t="s">
        <v>150</v>
      </c>
      <c r="B32" s="3">
        <v>0.03</v>
      </c>
      <c r="C32" t="s">
        <v>233</v>
      </c>
      <c r="D32" t="s">
        <v>237</v>
      </c>
      <c r="G32" s="120"/>
    </row>
    <row r="33" spans="1:7" x14ac:dyDescent="0.35">
      <c r="A33" s="119"/>
      <c r="B33" s="3">
        <v>0.02</v>
      </c>
      <c r="C33" t="s">
        <v>234</v>
      </c>
      <c r="D33" t="s">
        <v>238</v>
      </c>
      <c r="G33" s="120"/>
    </row>
    <row r="34" spans="1:7" x14ac:dyDescent="0.35">
      <c r="A34" s="119"/>
      <c r="B34" s="3">
        <v>0.01</v>
      </c>
      <c r="C34" t="s">
        <v>235</v>
      </c>
      <c r="D34" t="s">
        <v>239</v>
      </c>
      <c r="G34" s="120"/>
    </row>
    <row r="35" spans="1:7" x14ac:dyDescent="0.35">
      <c r="A35" s="121"/>
      <c r="B35" s="122">
        <v>0</v>
      </c>
      <c r="C35" s="123" t="s">
        <v>236</v>
      </c>
      <c r="D35" s="123"/>
      <c r="E35" s="123"/>
      <c r="F35" s="123"/>
      <c r="G35" s="124"/>
    </row>
    <row r="39" spans="1:7" x14ac:dyDescent="0.35">
      <c r="A39" t="s">
        <v>251</v>
      </c>
    </row>
    <row r="40" spans="1:7" x14ac:dyDescent="0.35">
      <c r="A40" s="14" t="s">
        <v>248</v>
      </c>
      <c r="B40" s="14" t="s">
        <v>248</v>
      </c>
    </row>
    <row r="41" spans="1:7" x14ac:dyDescent="0.35">
      <c r="A41" t="s">
        <v>165</v>
      </c>
      <c r="B41" s="12" t="s">
        <v>218</v>
      </c>
    </row>
    <row r="42" spans="1:7" x14ac:dyDescent="0.35">
      <c r="A42" t="s">
        <v>166</v>
      </c>
      <c r="B42" s="12" t="s">
        <v>265</v>
      </c>
    </row>
    <row r="44" spans="1:7" x14ac:dyDescent="0.35">
      <c r="A44" s="14" t="s">
        <v>249</v>
      </c>
    </row>
    <row r="45" spans="1:7" x14ac:dyDescent="0.35">
      <c r="A45" t="s">
        <v>250</v>
      </c>
    </row>
  </sheetData>
  <sheetProtection algorithmName="SHA-512" hashValue="3f/n/SdxkhN+6S9pQzHnM23HC/NY+Z4RRB0AonF6QYYgzVLJbUFkxvhDzohivdyoFRB8BVi0KWQCZie1dCqvzw==" saltValue="wlYZmcnYmlJqHoOvhgGorg==" spinCount="100000" sheet="1" objects="1" scenarios="1"/>
  <mergeCells count="1">
    <mergeCell ref="B11:D11"/>
  </mergeCells>
  <hyperlinks>
    <hyperlink ref="B11" r:id="rId1" xr:uid="{5E5150AE-032E-4EBC-B244-CD212BC41C4E}"/>
  </hyperlinks>
  <pageMargins left="0.7" right="0.7" top="0.75" bottom="0.75" header="0.3" footer="0.3"/>
  <pageSetup orientation="landscape" horizontalDpi="360" verticalDpi="36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1"/>
  <sheetViews>
    <sheetView zoomScaleNormal="100" workbookViewId="0">
      <pane xSplit="1" topLeftCell="B1" activePane="topRight" state="frozen"/>
      <selection pane="topRight" activeCell="B5" sqref="B5"/>
    </sheetView>
  </sheetViews>
  <sheetFormatPr defaultColWidth="8.81640625" defaultRowHeight="14.5" x14ac:dyDescent="0.35"/>
  <cols>
    <col min="1" max="1" width="37.81640625" customWidth="1"/>
    <col min="2" max="7" width="20.81640625" customWidth="1"/>
    <col min="9" max="9" width="7.81640625" customWidth="1"/>
    <col min="10" max="10" width="7.1796875" customWidth="1"/>
    <col min="11" max="11" width="27.81640625" customWidth="1"/>
    <col min="12" max="12" width="12.453125" bestFit="1" customWidth="1"/>
    <col min="13" max="13" width="24.81640625" bestFit="1" customWidth="1"/>
    <col min="14" max="14" width="14.1796875" bestFit="1" customWidth="1"/>
    <col min="15" max="15" width="13.1796875" customWidth="1"/>
    <col min="16" max="16" width="23.1796875" bestFit="1" customWidth="1"/>
    <col min="17" max="17" width="11" bestFit="1" customWidth="1"/>
  </cols>
  <sheetData>
    <row r="1" spans="1:7" ht="18.5" x14ac:dyDescent="0.45">
      <c r="A1" s="88" t="str">
        <f>Budget!$A$1</f>
        <v>Liberty Leadership Academy</v>
      </c>
      <c r="B1" s="212" t="s">
        <v>90</v>
      </c>
      <c r="C1" s="213"/>
      <c r="D1" s="213"/>
      <c r="E1" s="213"/>
      <c r="F1" s="213"/>
      <c r="G1" s="214"/>
    </row>
    <row r="2" spans="1:7" ht="18.5" x14ac:dyDescent="0.45">
      <c r="A2" s="89" t="str">
        <f>IF(ISBLANK(+Budget!A2),"",Budget!A2)</f>
        <v>100% Budget</v>
      </c>
      <c r="B2" s="90"/>
      <c r="C2" s="90"/>
      <c r="D2" s="90"/>
      <c r="E2" s="90"/>
      <c r="F2" s="90"/>
      <c r="G2" s="90"/>
    </row>
    <row r="3" spans="1:7" ht="15.5" x14ac:dyDescent="0.35">
      <c r="B3" s="87" t="str">
        <f>Budget!$B$1</f>
        <v>FY2023</v>
      </c>
      <c r="C3" s="87" t="str">
        <f>Budget!$C$1</f>
        <v>FY2024</v>
      </c>
      <c r="D3" s="87" t="str">
        <f>Budget!$D$1</f>
        <v>FY2025</v>
      </c>
      <c r="E3" s="87" t="str">
        <f>Budget!$E$1</f>
        <v>FY2026</v>
      </c>
      <c r="F3" s="87" t="str">
        <f>Budget!$F$1</f>
        <v>FY2027</v>
      </c>
      <c r="G3" s="87" t="str">
        <f>Budget!$G$1</f>
        <v>FY2028</v>
      </c>
    </row>
    <row r="4" spans="1:7" ht="15.5" x14ac:dyDescent="0.35">
      <c r="B4" s="87" t="str">
        <f>+Budget!B2</f>
        <v>Planning Year</v>
      </c>
      <c r="C4" s="87" t="str">
        <f>+Budget!C2</f>
        <v>Year 1</v>
      </c>
      <c r="D4" s="87" t="str">
        <f>+Budget!D2</f>
        <v>Year 2</v>
      </c>
      <c r="E4" s="87" t="str">
        <f>+Budget!E2</f>
        <v>Year 3</v>
      </c>
      <c r="F4" s="87" t="str">
        <f>+Budget!F2</f>
        <v>Year 4</v>
      </c>
      <c r="G4" s="87" t="str">
        <f>+Budget!G2</f>
        <v>Year 5</v>
      </c>
    </row>
    <row r="5" spans="1:7" ht="15.5" x14ac:dyDescent="0.35">
      <c r="A5" s="151" t="s">
        <v>124</v>
      </c>
      <c r="B5" s="156"/>
      <c r="C5" s="152">
        <f>B7</f>
        <v>3400</v>
      </c>
      <c r="D5" s="153">
        <f>C7</f>
        <v>12083</v>
      </c>
      <c r="E5" s="153">
        <f>D7</f>
        <v>399049</v>
      </c>
      <c r="F5" s="153">
        <f>E7</f>
        <v>1088400</v>
      </c>
      <c r="G5" s="153">
        <f>F7</f>
        <v>1851257</v>
      </c>
    </row>
    <row r="6" spans="1:7" ht="15.5" x14ac:dyDescent="0.35">
      <c r="A6" s="154" t="s">
        <v>229</v>
      </c>
      <c r="B6" s="155">
        <f>Budget!B136</f>
        <v>3400</v>
      </c>
      <c r="C6" s="153">
        <f>Budget!C136</f>
        <v>8683</v>
      </c>
      <c r="D6" s="153">
        <f>Budget!D136</f>
        <v>386966</v>
      </c>
      <c r="E6" s="153">
        <f>Budget!E136</f>
        <v>689351</v>
      </c>
      <c r="F6" s="153">
        <f>Budget!F136</f>
        <v>762857</v>
      </c>
      <c r="G6" s="153">
        <f>Budget!G136</f>
        <v>747696</v>
      </c>
    </row>
    <row r="7" spans="1:7" ht="15.5" x14ac:dyDescent="0.35">
      <c r="A7" s="154" t="s">
        <v>122</v>
      </c>
      <c r="B7" s="153">
        <f>B5+B6</f>
        <v>3400</v>
      </c>
      <c r="C7" s="153">
        <f t="shared" ref="C7:G7" si="0">C5+C6</f>
        <v>12083</v>
      </c>
      <c r="D7" s="153">
        <f t="shared" si="0"/>
        <v>399049</v>
      </c>
      <c r="E7" s="153">
        <f t="shared" si="0"/>
        <v>1088400</v>
      </c>
      <c r="F7" s="153">
        <f t="shared" si="0"/>
        <v>1851257</v>
      </c>
      <c r="G7" s="153">
        <f t="shared" si="0"/>
        <v>2598953</v>
      </c>
    </row>
    <row r="8" spans="1:7" x14ac:dyDescent="0.35">
      <c r="A8" s="157" t="s">
        <v>323</v>
      </c>
      <c r="B8" s="158"/>
      <c r="C8" s="158"/>
      <c r="D8" s="158"/>
      <c r="E8" s="159"/>
      <c r="F8" s="160"/>
      <c r="G8" s="160"/>
    </row>
    <row r="9" spans="1:7" x14ac:dyDescent="0.35">
      <c r="A9" s="91"/>
      <c r="B9" s="92"/>
      <c r="C9" s="92"/>
      <c r="D9" s="92"/>
      <c r="E9" s="15"/>
      <c r="F9" s="15"/>
      <c r="G9" s="15"/>
    </row>
    <row r="10" spans="1:7" ht="15.5" x14ac:dyDescent="0.35">
      <c r="A10" s="161" t="s">
        <v>125</v>
      </c>
      <c r="B10" s="162">
        <v>0</v>
      </c>
      <c r="C10" s="163">
        <f>B13</f>
        <v>0</v>
      </c>
      <c r="D10" s="164">
        <f>C13</f>
        <v>0</v>
      </c>
      <c r="E10" s="164">
        <f>D13</f>
        <v>0</v>
      </c>
      <c r="F10" s="164">
        <f>E13</f>
        <v>0</v>
      </c>
      <c r="G10" s="164">
        <f>F13</f>
        <v>0</v>
      </c>
    </row>
    <row r="11" spans="1:7" ht="15.5" x14ac:dyDescent="0.35">
      <c r="A11" s="165" t="s">
        <v>247</v>
      </c>
      <c r="B11" s="166">
        <f>+Budget!B134</f>
        <v>0</v>
      </c>
      <c r="C11" s="164">
        <f>+Budget!C134</f>
        <v>0</v>
      </c>
      <c r="D11" s="164">
        <f>+Budget!D134</f>
        <v>0</v>
      </c>
      <c r="E11" s="164">
        <f>Budget!E134</f>
        <v>0</v>
      </c>
      <c r="F11" s="164">
        <f>Budget!F134</f>
        <v>0</v>
      </c>
      <c r="G11" s="164">
        <f>Budget!G134</f>
        <v>0</v>
      </c>
    </row>
    <row r="12" spans="1:7" ht="15.5" x14ac:dyDescent="0.35">
      <c r="A12" s="165" t="s">
        <v>246</v>
      </c>
      <c r="B12" s="166">
        <f>-Budget!B135</f>
        <v>0</v>
      </c>
      <c r="C12" s="166">
        <f>-Budget!C135</f>
        <v>0</v>
      </c>
      <c r="D12" s="166">
        <f>-Budget!D135</f>
        <v>0</v>
      </c>
      <c r="E12" s="166">
        <f>-Budget!E135</f>
        <v>0</v>
      </c>
      <c r="F12" s="166">
        <f>-Budget!F135</f>
        <v>0</v>
      </c>
      <c r="G12" s="166">
        <f>-Budget!G135</f>
        <v>0</v>
      </c>
    </row>
    <row r="13" spans="1:7" ht="15.5" x14ac:dyDescent="0.35">
      <c r="A13" s="165" t="s">
        <v>126</v>
      </c>
      <c r="B13" s="164">
        <f>B10+B11+B12</f>
        <v>0</v>
      </c>
      <c r="C13" s="164">
        <f t="shared" ref="C13:G13" si="1">C10+C11+C12</f>
        <v>0</v>
      </c>
      <c r="D13" s="164">
        <f t="shared" si="1"/>
        <v>0</v>
      </c>
      <c r="E13" s="164">
        <f t="shared" si="1"/>
        <v>0</v>
      </c>
      <c r="F13" s="164">
        <f t="shared" si="1"/>
        <v>0</v>
      </c>
      <c r="G13" s="164">
        <f t="shared" si="1"/>
        <v>0</v>
      </c>
    </row>
    <row r="14" spans="1:7" x14ac:dyDescent="0.35">
      <c r="A14" s="167" t="s">
        <v>228</v>
      </c>
      <c r="B14" s="168"/>
      <c r="C14" s="168"/>
      <c r="D14" s="168"/>
      <c r="E14" s="168"/>
      <c r="F14" s="168"/>
      <c r="G14" s="168"/>
    </row>
    <row r="15" spans="1:7" x14ac:dyDescent="0.35">
      <c r="B15" s="15"/>
      <c r="C15" s="15"/>
      <c r="D15" s="15"/>
      <c r="E15" s="15"/>
      <c r="F15" s="15"/>
      <c r="G15" s="15"/>
    </row>
    <row r="16" spans="1:7" ht="15.5" x14ac:dyDescent="0.35">
      <c r="A16" s="169" t="s">
        <v>127</v>
      </c>
      <c r="B16" s="170">
        <f t="shared" ref="B16:G16" si="2">B5+B10</f>
        <v>0</v>
      </c>
      <c r="C16" s="170">
        <f t="shared" si="2"/>
        <v>3400</v>
      </c>
      <c r="D16" s="170">
        <f t="shared" si="2"/>
        <v>12083</v>
      </c>
      <c r="E16" s="170">
        <f t="shared" si="2"/>
        <v>399049</v>
      </c>
      <c r="F16" s="170">
        <f t="shared" si="2"/>
        <v>1088400</v>
      </c>
      <c r="G16" s="170">
        <f t="shared" si="2"/>
        <v>1851257</v>
      </c>
    </row>
    <row r="17" spans="1:7" ht="15.5" x14ac:dyDescent="0.35">
      <c r="A17" s="169" t="s">
        <v>222</v>
      </c>
      <c r="B17" s="170">
        <f>B18-B16</f>
        <v>3400</v>
      </c>
      <c r="C17" s="170">
        <f t="shared" ref="C17:G17" si="3">C18-C16</f>
        <v>8683</v>
      </c>
      <c r="D17" s="170">
        <f t="shared" si="3"/>
        <v>386966</v>
      </c>
      <c r="E17" s="170">
        <f t="shared" si="3"/>
        <v>689351</v>
      </c>
      <c r="F17" s="170">
        <f t="shared" si="3"/>
        <v>762857</v>
      </c>
      <c r="G17" s="170">
        <f t="shared" si="3"/>
        <v>747696</v>
      </c>
    </row>
    <row r="18" spans="1:7" ht="15.5" x14ac:dyDescent="0.35">
      <c r="A18" s="169" t="s">
        <v>128</v>
      </c>
      <c r="B18" s="170">
        <f t="shared" ref="B18:G18" si="4">B7+B13</f>
        <v>3400</v>
      </c>
      <c r="C18" s="170">
        <f t="shared" si="4"/>
        <v>12083</v>
      </c>
      <c r="D18" s="170">
        <f t="shared" si="4"/>
        <v>399049</v>
      </c>
      <c r="E18" s="170">
        <f t="shared" si="4"/>
        <v>1088400</v>
      </c>
      <c r="F18" s="170">
        <f t="shared" si="4"/>
        <v>1851257</v>
      </c>
      <c r="G18" s="170">
        <f t="shared" si="4"/>
        <v>2598953</v>
      </c>
    </row>
    <row r="20" spans="1:7" x14ac:dyDescent="0.35">
      <c r="A20" s="13" t="s">
        <v>224</v>
      </c>
    </row>
    <row r="21" spans="1:7" x14ac:dyDescent="0.35">
      <c r="A21" s="13" t="s">
        <v>225</v>
      </c>
    </row>
  </sheetData>
  <sheetProtection algorithmName="SHA-512" hashValue="+i+m9BHNs1I1VT1dGvRHcKQsRcC6Vno5Fe3JcF3prv5G9FrmA9zc51b9s4Jmz4ztxMInHaM3MlutZ3yVBmN9Eg==" saltValue="676oOZVy43JrkAiMhHhuig==" spinCount="100000" sheet="1" formatColumns="0" selectLockedCells="1"/>
  <mergeCells count="1">
    <mergeCell ref="B1:G1"/>
  </mergeCells>
  <conditionalFormatting sqref="B18:G18">
    <cfRule type="cellIs" dxfId="71" priority="3" operator="lessThan">
      <formula>0</formula>
    </cfRule>
  </conditionalFormatting>
  <conditionalFormatting sqref="B7:G7">
    <cfRule type="cellIs" dxfId="70" priority="2" operator="lessThan">
      <formula>0</formula>
    </cfRule>
  </conditionalFormatting>
  <conditionalFormatting sqref="B13:G13">
    <cfRule type="cellIs" dxfId="69" priority="1" operator="lessThan">
      <formula>0</formula>
    </cfRule>
  </conditionalFormatting>
  <printOptions horizontalCentered="1"/>
  <pageMargins left="0.7" right="0.7" top="0.75" bottom="0.75" header="0.3" footer="0.3"/>
  <pageSetup paperSize="5" scale="70" fitToHeight="6" orientation="landscape"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116BD-8B6A-4709-8E0A-5A901BB676DB}">
  <dimension ref="A1:O97"/>
  <sheetViews>
    <sheetView zoomScale="80" zoomScaleNormal="80" workbookViewId="0">
      <pane xSplit="1" ySplit="2" topLeftCell="B3" activePane="bottomRight" state="frozen"/>
      <selection pane="topRight" activeCell="B1" sqref="B1"/>
      <selection pane="bottomLeft" activeCell="A3" sqref="A3"/>
      <selection pane="bottomRight" activeCell="D63" sqref="D63"/>
    </sheetView>
  </sheetViews>
  <sheetFormatPr defaultColWidth="8.81640625" defaultRowHeight="14.5" x14ac:dyDescent="0.35"/>
  <cols>
    <col min="1" max="1" width="38.81640625" customWidth="1"/>
    <col min="2" max="13" width="15.81640625" customWidth="1"/>
    <col min="14" max="14" width="16.81640625" customWidth="1"/>
    <col min="15" max="15" width="21.453125" customWidth="1"/>
  </cols>
  <sheetData>
    <row r="1" spans="1:15" ht="21" x14ac:dyDescent="0.45">
      <c r="A1" s="105" t="str">
        <f>IF(ISBLANK(+Budget!A2),"",Budget!A2)</f>
        <v>100% Budget</v>
      </c>
      <c r="B1" s="215" t="s">
        <v>227</v>
      </c>
      <c r="C1" s="215"/>
      <c r="D1" s="215"/>
      <c r="E1" s="215"/>
      <c r="F1" s="215"/>
      <c r="G1" s="215"/>
      <c r="H1" s="215"/>
      <c r="I1" s="215"/>
      <c r="J1" s="215"/>
      <c r="K1" s="215"/>
      <c r="L1" s="215"/>
      <c r="M1" s="215"/>
      <c r="N1" s="215"/>
      <c r="O1" s="215"/>
    </row>
    <row r="2" spans="1:15" ht="33.7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Balances'!B5</f>
        <v>0</v>
      </c>
      <c r="C4" s="85">
        <f>B97</f>
        <v>9925</v>
      </c>
      <c r="D4" s="85">
        <f t="shared" ref="D4:M4" si="0">C97</f>
        <v>9150</v>
      </c>
      <c r="E4" s="85">
        <f t="shared" si="0"/>
        <v>8800</v>
      </c>
      <c r="F4" s="85">
        <f t="shared" si="0"/>
        <v>8700</v>
      </c>
      <c r="G4" s="85">
        <f t="shared" si="0"/>
        <v>8600</v>
      </c>
      <c r="H4" s="85">
        <f t="shared" si="0"/>
        <v>8340</v>
      </c>
      <c r="I4" s="85">
        <f t="shared" si="0"/>
        <v>8230</v>
      </c>
      <c r="J4" s="85">
        <f t="shared" si="0"/>
        <v>7170</v>
      </c>
      <c r="K4" s="85">
        <f t="shared" si="0"/>
        <v>7010</v>
      </c>
      <c r="L4" s="85">
        <f t="shared" si="0"/>
        <v>5950</v>
      </c>
      <c r="M4" s="85">
        <f t="shared" si="0"/>
        <v>4675</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Budget!$B$43/12</f>
        <v>0</v>
      </c>
      <c r="C6" s="30">
        <f>Budget!$B$43/12</f>
        <v>0</v>
      </c>
      <c r="D6" s="30">
        <f>Budget!$B$43/12</f>
        <v>0</v>
      </c>
      <c r="E6" s="30">
        <f>Budget!$B$43/12</f>
        <v>0</v>
      </c>
      <c r="F6" s="30">
        <f>Budget!$B$43/12</f>
        <v>0</v>
      </c>
      <c r="G6" s="30">
        <f>Budget!$B$43/12</f>
        <v>0</v>
      </c>
      <c r="H6" s="30">
        <f>Budget!$B$43/12</f>
        <v>0</v>
      </c>
      <c r="I6" s="30">
        <f>Budget!$B$43/12</f>
        <v>0</v>
      </c>
      <c r="J6" s="30">
        <f>Budget!$B$43/12</f>
        <v>0</v>
      </c>
      <c r="K6" s="30">
        <f>Budget!$B$43/12</f>
        <v>0</v>
      </c>
      <c r="L6" s="30">
        <f>Budget!$B$43/12</f>
        <v>0</v>
      </c>
      <c r="M6" s="30">
        <f>Budget!$B$43/12</f>
        <v>0</v>
      </c>
      <c r="N6" s="59">
        <f>ROUND(SUM(B6:M6),0)</f>
        <v>0</v>
      </c>
      <c r="O6" s="29" t="str">
        <f>IF((N6-Budget!B43)&lt;2,IF((N6-Budget!B43)&gt;-2,"Yes","No"),"No")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IF((N7-Budget!B45)&lt;2,IF((N7-Budget!B45)&gt;-2,"Yes","No"),"No")</f>
        <v>Yes</v>
      </c>
    </row>
    <row r="8" spans="1:15" x14ac:dyDescent="0.35">
      <c r="A8" s="68">
        <f>Budget!A46</f>
        <v>0</v>
      </c>
      <c r="B8" s="81"/>
      <c r="C8" s="81"/>
      <c r="D8" s="81"/>
      <c r="E8" s="81"/>
      <c r="F8" s="81"/>
      <c r="G8" s="81"/>
      <c r="H8" s="81"/>
      <c r="I8" s="81"/>
      <c r="J8" s="81"/>
      <c r="K8" s="81"/>
      <c r="L8" s="81"/>
      <c r="M8" s="81"/>
      <c r="N8" s="59">
        <f t="shared" si="1"/>
        <v>0</v>
      </c>
      <c r="O8" s="29" t="str">
        <f>IF((N8-Budget!B46)&lt;2,IF((N8-Budget!B46)&gt;-2,"Yes","No"),"No")</f>
        <v>Yes</v>
      </c>
    </row>
    <row r="9" spans="1:15" x14ac:dyDescent="0.35">
      <c r="A9" s="60" t="str">
        <f>Budget!A47</f>
        <v>Donations</v>
      </c>
      <c r="B9" s="80"/>
      <c r="C9" s="80"/>
      <c r="D9" s="80"/>
      <c r="E9" s="80"/>
      <c r="F9" s="80"/>
      <c r="G9" s="80"/>
      <c r="H9" s="80"/>
      <c r="I9" s="80"/>
      <c r="J9" s="80"/>
      <c r="K9" s="80"/>
      <c r="L9" s="80"/>
      <c r="M9" s="80"/>
      <c r="N9" s="61">
        <f t="shared" si="1"/>
        <v>0</v>
      </c>
      <c r="O9" s="28" t="str">
        <f>IF((N9-Budget!B47)&lt;2,IF((N9-Budget!B47)&gt;-2,"Yes","No"),"No")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IF((N10-Budget!B48)&lt;2,IF((N10-Budget!B48)&gt;-2,"Yes","No"),"No")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IF((N11-Budget!B49)&lt;2,IF((N11-Budget!B49)&gt;-2,"Yes","No"),"No")</f>
        <v>Yes</v>
      </c>
    </row>
    <row r="12" spans="1:15" x14ac:dyDescent="0.35">
      <c r="A12" s="68" t="str">
        <f>Budget!A50</f>
        <v>Grants</v>
      </c>
      <c r="B12" s="81">
        <v>10000</v>
      </c>
      <c r="C12" s="81"/>
      <c r="D12" s="81"/>
      <c r="E12" s="81"/>
      <c r="F12" s="81"/>
      <c r="G12" s="81"/>
      <c r="H12" s="81"/>
      <c r="I12" s="81"/>
      <c r="J12" s="81"/>
      <c r="K12" s="81"/>
      <c r="L12" s="81"/>
      <c r="M12" s="81"/>
      <c r="N12" s="59">
        <f t="shared" si="1"/>
        <v>10000</v>
      </c>
      <c r="O12" s="29" t="str">
        <f>IF((N12-Budget!B50)&lt;2,IF((N12-Budget!B50)&gt;-2,"Yes","No"),"No")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IF((N13-Budget!B51)&lt;2,IF((N13-Budget!B51)&gt;-2,"Yes","No"),"No")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IF((N14-Budget!B52)&lt;2,IF((N14-Budget!B52)&gt;-2,"Yes","No"),"No")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IF((N15-Budget!B53)&lt;2,IF((N15-Budget!B53)&gt;-2,"Yes","No"),"No")</f>
        <v>Yes</v>
      </c>
    </row>
    <row r="16" spans="1:15" ht="18.5" x14ac:dyDescent="0.45">
      <c r="A16" s="62" t="s">
        <v>195</v>
      </c>
      <c r="B16" s="74">
        <f t="shared" ref="B16:M16" si="2">SUM(B6:B15)</f>
        <v>10000</v>
      </c>
      <c r="C16" s="74">
        <f t="shared" si="2"/>
        <v>0</v>
      </c>
      <c r="D16" s="74">
        <f t="shared" si="2"/>
        <v>0</v>
      </c>
      <c r="E16" s="74">
        <f t="shared" si="2"/>
        <v>0</v>
      </c>
      <c r="F16" s="74">
        <f t="shared" si="2"/>
        <v>0</v>
      </c>
      <c r="G16" s="74">
        <f t="shared" si="2"/>
        <v>0</v>
      </c>
      <c r="H16" s="74">
        <f t="shared" si="2"/>
        <v>0</v>
      </c>
      <c r="I16" s="74">
        <f t="shared" si="2"/>
        <v>0</v>
      </c>
      <c r="J16" s="74">
        <f t="shared" si="2"/>
        <v>0</v>
      </c>
      <c r="K16" s="74">
        <f t="shared" si="2"/>
        <v>0</v>
      </c>
      <c r="L16" s="74">
        <f t="shared" si="2"/>
        <v>0</v>
      </c>
      <c r="M16" s="74">
        <f t="shared" si="2"/>
        <v>0</v>
      </c>
      <c r="N16" s="74">
        <f>ROUND(SUM(B16:M16),2)</f>
        <v>10000</v>
      </c>
      <c r="O16" s="28" t="str">
        <f>IF((N16-Budget!B54)&lt;2,IF((N16-Budget!B54)&gt;-2,"Yes","No"),"No")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06" t="str">
        <f>Budget!A56</f>
        <v>Personnel</v>
      </c>
      <c r="B18" s="107"/>
      <c r="C18" s="107"/>
      <c r="D18" s="107"/>
      <c r="E18" s="107"/>
      <c r="F18" s="107"/>
      <c r="G18" s="107"/>
      <c r="H18" s="107"/>
      <c r="I18" s="107"/>
      <c r="J18" s="107"/>
      <c r="K18" s="107"/>
      <c r="L18" s="107"/>
      <c r="M18" s="107"/>
      <c r="N18" s="107"/>
      <c r="O18" s="108"/>
    </row>
    <row r="19" spans="1:15" x14ac:dyDescent="0.35">
      <c r="A19" s="67" t="str">
        <f>Budget!A57</f>
        <v>Principal</v>
      </c>
      <c r="B19" s="82">
        <v>0</v>
      </c>
      <c r="C19" s="82">
        <v>0</v>
      </c>
      <c r="D19" s="82">
        <v>0</v>
      </c>
      <c r="E19" s="82">
        <v>0</v>
      </c>
      <c r="F19" s="82">
        <v>0</v>
      </c>
      <c r="G19" s="82">
        <v>0</v>
      </c>
      <c r="H19" s="82">
        <v>0</v>
      </c>
      <c r="I19" s="82">
        <v>0</v>
      </c>
      <c r="J19" s="82">
        <v>0</v>
      </c>
      <c r="K19" s="82">
        <v>0</v>
      </c>
      <c r="L19" s="82">
        <v>0</v>
      </c>
      <c r="M19" s="82">
        <v>0</v>
      </c>
      <c r="N19" s="61">
        <f t="shared" ref="N19:N53" si="3">ROUND(SUM(B19:M19),0)</f>
        <v>0</v>
      </c>
      <c r="O19" s="28" t="str">
        <f>IF((N19-Budget!B57)&lt;2,IF((N19-Budget!B57)&gt;-2,"Yes","No"),"No")</f>
        <v>Yes</v>
      </c>
    </row>
    <row r="20" spans="1:15" ht="29" x14ac:dyDescent="0.35">
      <c r="A20" s="68" t="str">
        <f>Budget!A58</f>
        <v>Other Administrators (Asst. Principal, Curriculum Director…)</v>
      </c>
      <c r="B20" s="81">
        <v>0</v>
      </c>
      <c r="C20" s="81">
        <v>0</v>
      </c>
      <c r="D20" s="81">
        <v>0</v>
      </c>
      <c r="E20" s="81">
        <v>0</v>
      </c>
      <c r="F20" s="81">
        <v>0</v>
      </c>
      <c r="G20" s="81">
        <v>0</v>
      </c>
      <c r="H20" s="81">
        <v>0</v>
      </c>
      <c r="I20" s="81">
        <v>0</v>
      </c>
      <c r="J20" s="81">
        <v>0</v>
      </c>
      <c r="K20" s="81">
        <v>0</v>
      </c>
      <c r="L20" s="81">
        <v>0</v>
      </c>
      <c r="M20" s="81">
        <v>0</v>
      </c>
      <c r="N20" s="59">
        <f t="shared" si="3"/>
        <v>0</v>
      </c>
      <c r="O20" s="29" t="str">
        <f>IF((N20-Budget!B58)&lt;2,IF((N20-Budget!B58)&gt;-2,"Yes","No"),"No")</f>
        <v>Yes</v>
      </c>
    </row>
    <row r="21" spans="1:15" x14ac:dyDescent="0.35">
      <c r="A21" s="67" t="str">
        <f>Budget!A59</f>
        <v>Teachers</v>
      </c>
      <c r="B21" s="82">
        <v>0</v>
      </c>
      <c r="C21" s="82">
        <v>0</v>
      </c>
      <c r="D21" s="82">
        <v>0</v>
      </c>
      <c r="E21" s="82">
        <v>0</v>
      </c>
      <c r="F21" s="82">
        <v>0</v>
      </c>
      <c r="G21" s="82">
        <v>0</v>
      </c>
      <c r="H21" s="82">
        <v>0</v>
      </c>
      <c r="I21" s="82">
        <v>0</v>
      </c>
      <c r="J21" s="82">
        <v>0</v>
      </c>
      <c r="K21" s="82">
        <v>0</v>
      </c>
      <c r="L21" s="82">
        <v>0</v>
      </c>
      <c r="M21" s="82">
        <v>0</v>
      </c>
      <c r="N21" s="61">
        <f t="shared" si="3"/>
        <v>0</v>
      </c>
      <c r="O21" s="28" t="str">
        <f>IF((N21-Budget!B59)&lt;2,IF((N21-Budget!B59)&gt;-2,"Yes","No"),"No")</f>
        <v>Yes</v>
      </c>
    </row>
    <row r="22" spans="1:15" x14ac:dyDescent="0.35">
      <c r="A22" s="68" t="str">
        <f>Budget!A60</f>
        <v>Arts/PE/Connections Teachers</v>
      </c>
      <c r="B22" s="81">
        <v>0</v>
      </c>
      <c r="C22" s="81">
        <v>0</v>
      </c>
      <c r="D22" s="81">
        <v>0</v>
      </c>
      <c r="E22" s="81">
        <v>0</v>
      </c>
      <c r="F22" s="81">
        <v>0</v>
      </c>
      <c r="G22" s="81">
        <v>0</v>
      </c>
      <c r="H22" s="81">
        <v>0</v>
      </c>
      <c r="I22" s="81">
        <v>0</v>
      </c>
      <c r="J22" s="81">
        <v>0</v>
      </c>
      <c r="K22" s="81">
        <v>0</v>
      </c>
      <c r="L22" s="81">
        <v>0</v>
      </c>
      <c r="M22" s="81">
        <v>0</v>
      </c>
      <c r="N22" s="59">
        <f t="shared" si="3"/>
        <v>0</v>
      </c>
      <c r="O22" s="29" t="str">
        <f>IF((N22-Budget!B60)&lt;2,IF((N22-Budget!B60)&gt;-2,"Yes","No"),"No")</f>
        <v>Yes</v>
      </c>
    </row>
    <row r="23" spans="1:15" x14ac:dyDescent="0.35">
      <c r="A23" s="67" t="str">
        <f>Budget!A61</f>
        <v>Athletics/Extracurricular Coaches</v>
      </c>
      <c r="B23" s="82">
        <v>0</v>
      </c>
      <c r="C23" s="82">
        <v>0</v>
      </c>
      <c r="D23" s="82">
        <v>0</v>
      </c>
      <c r="E23" s="82">
        <v>0</v>
      </c>
      <c r="F23" s="82">
        <v>0</v>
      </c>
      <c r="G23" s="82">
        <v>0</v>
      </c>
      <c r="H23" s="82">
        <v>0</v>
      </c>
      <c r="I23" s="82">
        <v>0</v>
      </c>
      <c r="J23" s="82">
        <v>0</v>
      </c>
      <c r="K23" s="82">
        <v>0</v>
      </c>
      <c r="L23" s="82">
        <v>0</v>
      </c>
      <c r="M23" s="82">
        <v>0</v>
      </c>
      <c r="N23" s="61">
        <f t="shared" si="3"/>
        <v>0</v>
      </c>
      <c r="O23" s="28" t="str">
        <f>IF((N23-Budget!B61)&lt;2,IF((N23-Budget!B61)&gt;-2,"Yes","No"),"No")</f>
        <v>Yes</v>
      </c>
    </row>
    <row r="24" spans="1:15" x14ac:dyDescent="0.35">
      <c r="A24" s="68" t="str">
        <f>Budget!A62</f>
        <v>Guidance Counselors</v>
      </c>
      <c r="B24" s="81">
        <v>0</v>
      </c>
      <c r="C24" s="81">
        <v>0</v>
      </c>
      <c r="D24" s="81">
        <v>0</v>
      </c>
      <c r="E24" s="81">
        <v>0</v>
      </c>
      <c r="F24" s="81">
        <v>0</v>
      </c>
      <c r="G24" s="81">
        <v>0</v>
      </c>
      <c r="H24" s="81">
        <v>0</v>
      </c>
      <c r="I24" s="81">
        <v>0</v>
      </c>
      <c r="J24" s="81">
        <v>0</v>
      </c>
      <c r="K24" s="81">
        <v>0</v>
      </c>
      <c r="L24" s="81">
        <v>0</v>
      </c>
      <c r="M24" s="81">
        <v>0</v>
      </c>
      <c r="N24" s="59">
        <f t="shared" si="3"/>
        <v>0</v>
      </c>
      <c r="O24" s="29" t="str">
        <f>IF((N24-Budget!B62)&lt;2,IF((N24-Budget!B62)&gt;-2,"Yes","No"),"No")</f>
        <v>Yes</v>
      </c>
    </row>
    <row r="25" spans="1:15" x14ac:dyDescent="0.35">
      <c r="A25" s="67" t="str">
        <f>Budget!A63</f>
        <v xml:space="preserve">Special Education Personnel </v>
      </c>
      <c r="B25" s="82">
        <v>0</v>
      </c>
      <c r="C25" s="82">
        <v>0</v>
      </c>
      <c r="D25" s="82">
        <v>0</v>
      </c>
      <c r="E25" s="82">
        <v>0</v>
      </c>
      <c r="F25" s="82">
        <v>0</v>
      </c>
      <c r="G25" s="82">
        <v>0</v>
      </c>
      <c r="H25" s="82">
        <v>0</v>
      </c>
      <c r="I25" s="82">
        <v>0</v>
      </c>
      <c r="J25" s="82">
        <v>0</v>
      </c>
      <c r="K25" s="82">
        <v>0</v>
      </c>
      <c r="L25" s="82">
        <v>0</v>
      </c>
      <c r="M25" s="82">
        <v>0</v>
      </c>
      <c r="N25" s="61">
        <f t="shared" si="3"/>
        <v>0</v>
      </c>
      <c r="O25" s="28" t="str">
        <f>IF((N25-Budget!B63)&lt;2,IF((N25-Budget!B63)&gt;-2,"Yes","No"),"No")</f>
        <v>Yes</v>
      </c>
    </row>
    <row r="26" spans="1:15" x14ac:dyDescent="0.35">
      <c r="A26" s="68" t="str">
        <f>Budget!A64</f>
        <v>Office Manager</v>
      </c>
      <c r="B26" s="81">
        <v>0</v>
      </c>
      <c r="C26" s="81">
        <v>0</v>
      </c>
      <c r="D26" s="81">
        <v>0</v>
      </c>
      <c r="E26" s="81">
        <v>0</v>
      </c>
      <c r="F26" s="81">
        <v>0</v>
      </c>
      <c r="G26" s="81">
        <v>0</v>
      </c>
      <c r="H26" s="81">
        <v>0</v>
      </c>
      <c r="I26" s="81">
        <v>0</v>
      </c>
      <c r="J26" s="81">
        <v>0</v>
      </c>
      <c r="K26" s="81">
        <v>0</v>
      </c>
      <c r="L26" s="81">
        <v>0</v>
      </c>
      <c r="M26" s="81">
        <v>0</v>
      </c>
      <c r="N26" s="59">
        <f t="shared" si="3"/>
        <v>0</v>
      </c>
      <c r="O26" s="29" t="str">
        <f>IF((N26-Budget!B64)&lt;2,IF((N26-Budget!B64)&gt;-2,"Yes","No"),"No")</f>
        <v>Yes</v>
      </c>
    </row>
    <row r="27" spans="1:15" x14ac:dyDescent="0.35">
      <c r="A27" s="67" t="str">
        <f>Budget!A65</f>
        <v>Office Assistant</v>
      </c>
      <c r="B27" s="82">
        <v>0</v>
      </c>
      <c r="C27" s="82">
        <v>0</v>
      </c>
      <c r="D27" s="82">
        <v>0</v>
      </c>
      <c r="E27" s="82">
        <v>0</v>
      </c>
      <c r="F27" s="82">
        <v>0</v>
      </c>
      <c r="G27" s="82">
        <v>0</v>
      </c>
      <c r="H27" s="82">
        <v>0</v>
      </c>
      <c r="I27" s="82">
        <v>0</v>
      </c>
      <c r="J27" s="82">
        <v>0</v>
      </c>
      <c r="K27" s="82">
        <v>0</v>
      </c>
      <c r="L27" s="82">
        <v>0</v>
      </c>
      <c r="M27" s="82">
        <v>0</v>
      </c>
      <c r="N27" s="61">
        <f t="shared" si="3"/>
        <v>0</v>
      </c>
      <c r="O27" s="28" t="str">
        <f>IF((N27-Budget!B65)&lt;2,IF((N27-Budget!B65)&gt;-2,"Yes","No"),"No")</f>
        <v>Yes</v>
      </c>
    </row>
    <row r="28" spans="1:15" x14ac:dyDescent="0.35">
      <c r="A28" s="68" t="str">
        <f>Budget!A66</f>
        <v>Business Manager</v>
      </c>
      <c r="B28" s="81">
        <v>0</v>
      </c>
      <c r="C28" s="81">
        <v>0</v>
      </c>
      <c r="D28" s="81">
        <v>0</v>
      </c>
      <c r="E28" s="81">
        <v>0</v>
      </c>
      <c r="F28" s="81">
        <v>0</v>
      </c>
      <c r="G28" s="81">
        <v>0</v>
      </c>
      <c r="H28" s="81">
        <v>0</v>
      </c>
      <c r="I28" s="81">
        <v>0</v>
      </c>
      <c r="J28" s="81">
        <v>0</v>
      </c>
      <c r="K28" s="81">
        <v>0</v>
      </c>
      <c r="L28" s="81">
        <v>0</v>
      </c>
      <c r="M28" s="81">
        <v>0</v>
      </c>
      <c r="N28" s="59">
        <f t="shared" si="3"/>
        <v>0</v>
      </c>
      <c r="O28" s="29" t="str">
        <f>IF((N28-Budget!B66)&lt;2,IF((N28-Budget!B66)&gt;-2,"Yes","No"),"No")</f>
        <v>Yes</v>
      </c>
    </row>
    <row r="29" spans="1:15" x14ac:dyDescent="0.35">
      <c r="A29" s="67" t="str">
        <f>Budget!A67</f>
        <v>Maintenance Personnel</v>
      </c>
      <c r="B29" s="82">
        <v>0</v>
      </c>
      <c r="C29" s="82">
        <v>0</v>
      </c>
      <c r="D29" s="82">
        <v>0</v>
      </c>
      <c r="E29" s="82">
        <v>0</v>
      </c>
      <c r="F29" s="82">
        <v>0</v>
      </c>
      <c r="G29" s="82">
        <v>0</v>
      </c>
      <c r="H29" s="82">
        <v>0</v>
      </c>
      <c r="I29" s="82">
        <v>0</v>
      </c>
      <c r="J29" s="82">
        <v>0</v>
      </c>
      <c r="K29" s="82">
        <v>0</v>
      </c>
      <c r="L29" s="82">
        <v>0</v>
      </c>
      <c r="M29" s="82">
        <v>0</v>
      </c>
      <c r="N29" s="61">
        <f t="shared" si="3"/>
        <v>0</v>
      </c>
      <c r="O29" s="28" t="str">
        <f>IF((N29-Budget!B67)&lt;2,IF((N29-Budget!B67)&gt;-2,"Yes","No"),"No")</f>
        <v>Yes</v>
      </c>
    </row>
    <row r="30" spans="1:15" x14ac:dyDescent="0.35">
      <c r="A30" s="68" t="str">
        <f>Budget!A68</f>
        <v>Food Service Personnel</v>
      </c>
      <c r="B30" s="81">
        <v>0</v>
      </c>
      <c r="C30" s="81">
        <v>0</v>
      </c>
      <c r="D30" s="81">
        <v>0</v>
      </c>
      <c r="E30" s="81">
        <v>0</v>
      </c>
      <c r="F30" s="81">
        <v>0</v>
      </c>
      <c r="G30" s="81">
        <v>0</v>
      </c>
      <c r="H30" s="81">
        <v>0</v>
      </c>
      <c r="I30" s="81">
        <v>0</v>
      </c>
      <c r="J30" s="81">
        <v>0</v>
      </c>
      <c r="K30" s="81">
        <v>0</v>
      </c>
      <c r="L30" s="81">
        <v>0</v>
      </c>
      <c r="M30" s="81">
        <v>0</v>
      </c>
      <c r="N30" s="59">
        <f t="shared" si="3"/>
        <v>0</v>
      </c>
      <c r="O30" s="29" t="str">
        <f>IF((N30-Budget!B68)&lt;2,IF((N30-Budget!B68)&gt;-2,"Yes","No"),"No")</f>
        <v>Yes</v>
      </c>
    </row>
    <row r="31" spans="1:15" ht="43.5" x14ac:dyDescent="0.35">
      <c r="A31" s="67" t="str">
        <f>Budget!A69</f>
        <v>Retirement Benefits - Membership in TRS is required for teachers.  (FY23 rate=19.98%, recent yrs have been in this range)</v>
      </c>
      <c r="B31" s="82">
        <v>0</v>
      </c>
      <c r="C31" s="82">
        <v>0</v>
      </c>
      <c r="D31" s="82">
        <v>0</v>
      </c>
      <c r="E31" s="82">
        <v>0</v>
      </c>
      <c r="F31" s="82">
        <v>0</v>
      </c>
      <c r="G31" s="82">
        <v>0</v>
      </c>
      <c r="H31" s="82">
        <v>0</v>
      </c>
      <c r="I31" s="82">
        <v>0</v>
      </c>
      <c r="J31" s="82">
        <v>0</v>
      </c>
      <c r="K31" s="82">
        <v>0</v>
      </c>
      <c r="L31" s="82">
        <v>0</v>
      </c>
      <c r="M31" s="82">
        <v>0</v>
      </c>
      <c r="N31" s="61">
        <f t="shared" si="3"/>
        <v>0</v>
      </c>
      <c r="O31" s="28" t="str">
        <f>IF((N31-Budget!B69)&lt;2,IF((N31-Budget!B69)&gt;-2,"Yes","No"),"No")</f>
        <v>Yes</v>
      </c>
    </row>
    <row r="32" spans="1:15" x14ac:dyDescent="0.35">
      <c r="A32" s="68" t="str">
        <f>Budget!A70</f>
        <v>Health Benefits</v>
      </c>
      <c r="B32" s="81">
        <v>0</v>
      </c>
      <c r="C32" s="81">
        <v>0</v>
      </c>
      <c r="D32" s="81">
        <v>0</v>
      </c>
      <c r="E32" s="81">
        <v>0</v>
      </c>
      <c r="F32" s="81">
        <v>0</v>
      </c>
      <c r="G32" s="81">
        <v>0</v>
      </c>
      <c r="H32" s="81">
        <v>0</v>
      </c>
      <c r="I32" s="81">
        <v>0</v>
      </c>
      <c r="J32" s="81">
        <v>0</v>
      </c>
      <c r="K32" s="81">
        <v>0</v>
      </c>
      <c r="L32" s="81">
        <v>0</v>
      </c>
      <c r="M32" s="81">
        <v>0</v>
      </c>
      <c r="N32" s="59">
        <f t="shared" si="3"/>
        <v>0</v>
      </c>
      <c r="O32" s="29" t="str">
        <f>IF((N32-Budget!B70)&lt;2,IF((N32-Budget!B70)&gt;-2,"Yes","No"),"No")</f>
        <v>Yes</v>
      </c>
    </row>
    <row r="33" spans="1:15" x14ac:dyDescent="0.35">
      <c r="A33" s="67" t="str">
        <f>Budget!A71</f>
        <v>FICA (OASDI 6.2%, HI 1.45%)</v>
      </c>
      <c r="B33" s="82">
        <v>0</v>
      </c>
      <c r="C33" s="82">
        <v>0</v>
      </c>
      <c r="D33" s="82">
        <v>0</v>
      </c>
      <c r="E33" s="82">
        <v>0</v>
      </c>
      <c r="F33" s="82">
        <v>0</v>
      </c>
      <c r="G33" s="82">
        <v>0</v>
      </c>
      <c r="H33" s="82">
        <v>0</v>
      </c>
      <c r="I33" s="82">
        <v>0</v>
      </c>
      <c r="J33" s="82">
        <v>0</v>
      </c>
      <c r="K33" s="82">
        <v>0</v>
      </c>
      <c r="L33" s="82">
        <v>0</v>
      </c>
      <c r="M33" s="82">
        <v>0</v>
      </c>
      <c r="N33" s="61">
        <f t="shared" si="3"/>
        <v>0</v>
      </c>
      <c r="O33" s="28" t="str">
        <f>IF((N33-Budget!B71)&lt;2,IF((N33-Budget!B71)&gt;-2,"Yes","No"),"No")</f>
        <v>Yes</v>
      </c>
    </row>
    <row r="34" spans="1:15" x14ac:dyDescent="0.35">
      <c r="A34" s="68" t="str">
        <f>Budget!A72</f>
        <v>Other Payroll Expenses/Taxes</v>
      </c>
      <c r="B34" s="81">
        <v>0</v>
      </c>
      <c r="C34" s="81">
        <v>0</v>
      </c>
      <c r="D34" s="81">
        <v>0</v>
      </c>
      <c r="E34" s="81">
        <v>0</v>
      </c>
      <c r="F34" s="81">
        <v>0</v>
      </c>
      <c r="G34" s="81">
        <v>0</v>
      </c>
      <c r="H34" s="81">
        <v>0</v>
      </c>
      <c r="I34" s="81">
        <v>0</v>
      </c>
      <c r="J34" s="81">
        <v>0</v>
      </c>
      <c r="K34" s="81">
        <v>0</v>
      </c>
      <c r="L34" s="81">
        <v>0</v>
      </c>
      <c r="M34" s="81">
        <v>0</v>
      </c>
      <c r="N34" s="59">
        <f t="shared" si="3"/>
        <v>0</v>
      </c>
      <c r="O34" s="29" t="str">
        <f>IF((N34-Budget!B72)&lt;2,IF((N34-Budget!B72)&gt;-2,"Yes","No"),"No")</f>
        <v>Yes</v>
      </c>
    </row>
    <row r="35" spans="1:15" x14ac:dyDescent="0.35">
      <c r="A35" s="69" t="str">
        <f>Budget!A73</f>
        <v>Endorsement/Incentive Increases</v>
      </c>
      <c r="B35" s="82">
        <v>0</v>
      </c>
      <c r="C35" s="82">
        <v>0</v>
      </c>
      <c r="D35" s="82">
        <v>0</v>
      </c>
      <c r="E35" s="82">
        <v>0</v>
      </c>
      <c r="F35" s="82">
        <v>0</v>
      </c>
      <c r="G35" s="82">
        <v>0</v>
      </c>
      <c r="H35" s="82">
        <v>0</v>
      </c>
      <c r="I35" s="82">
        <v>0</v>
      </c>
      <c r="J35" s="82">
        <v>0</v>
      </c>
      <c r="K35" s="82">
        <v>0</v>
      </c>
      <c r="L35" s="82">
        <v>0</v>
      </c>
      <c r="M35" s="82">
        <v>0</v>
      </c>
      <c r="N35" s="61">
        <f t="shared" si="3"/>
        <v>0</v>
      </c>
      <c r="O35" s="28" t="str">
        <f>IF((N35-Budget!B73)&lt;2,IF((N35-Budget!B73)&gt;-2,"Yes","No"),"No")</f>
        <v>Yes</v>
      </c>
    </row>
    <row r="36" spans="1:15" x14ac:dyDescent="0.35">
      <c r="A36" s="68">
        <f>Budget!A74</f>
        <v>0</v>
      </c>
      <c r="B36" s="81"/>
      <c r="C36" s="81"/>
      <c r="D36" s="81"/>
      <c r="E36" s="81"/>
      <c r="F36" s="81"/>
      <c r="G36" s="81"/>
      <c r="H36" s="81"/>
      <c r="I36" s="81"/>
      <c r="J36" s="81"/>
      <c r="K36" s="81"/>
      <c r="L36" s="81"/>
      <c r="M36" s="81"/>
      <c r="N36" s="59">
        <f t="shared" si="3"/>
        <v>0</v>
      </c>
      <c r="O36" s="29" t="str">
        <f>IF((N36-Budget!B74)&lt;2,IF((N36-Budget!B74)&gt;-2,"Yes","No"),"No")</f>
        <v>Yes</v>
      </c>
    </row>
    <row r="37" spans="1:15" ht="15.5" x14ac:dyDescent="0.35">
      <c r="A37" s="70" t="str">
        <f>Budget!A75</f>
        <v>Total Personnel Expenses</v>
      </c>
      <c r="B37" s="63">
        <f>SUM(B19:B36)</f>
        <v>0</v>
      </c>
      <c r="C37" s="63">
        <f t="shared" ref="C37:M37" si="4">SUM(C19:C36)</f>
        <v>0</v>
      </c>
      <c r="D37" s="63">
        <f t="shared" si="4"/>
        <v>0</v>
      </c>
      <c r="E37" s="63">
        <f t="shared" si="4"/>
        <v>0</v>
      </c>
      <c r="F37" s="63">
        <f t="shared" si="4"/>
        <v>0</v>
      </c>
      <c r="G37" s="63">
        <f t="shared" si="4"/>
        <v>0</v>
      </c>
      <c r="H37" s="63">
        <f t="shared" si="4"/>
        <v>0</v>
      </c>
      <c r="I37" s="63">
        <f t="shared" si="4"/>
        <v>0</v>
      </c>
      <c r="J37" s="63">
        <f t="shared" si="4"/>
        <v>0</v>
      </c>
      <c r="K37" s="63">
        <f t="shared" si="4"/>
        <v>0</v>
      </c>
      <c r="L37" s="63">
        <f t="shared" si="4"/>
        <v>0</v>
      </c>
      <c r="M37" s="63">
        <f t="shared" si="4"/>
        <v>0</v>
      </c>
      <c r="N37" s="61">
        <f t="shared" si="3"/>
        <v>0</v>
      </c>
      <c r="O37" s="28" t="str">
        <f>IF((N37-Budget!B75)&lt;2,IF((N37-Budget!B75)&gt;-2,"Yes","No"),"No")</f>
        <v>Yes</v>
      </c>
    </row>
    <row r="38" spans="1:15" ht="18.5" x14ac:dyDescent="0.45">
      <c r="A38" s="106" t="str">
        <f>Budget!A76</f>
        <v xml:space="preserve">Instructional </v>
      </c>
      <c r="B38" s="107"/>
      <c r="C38" s="107"/>
      <c r="D38" s="107"/>
      <c r="E38" s="107"/>
      <c r="F38" s="107"/>
      <c r="G38" s="107"/>
      <c r="H38" s="107"/>
      <c r="I38" s="107"/>
      <c r="J38" s="107"/>
      <c r="K38" s="107"/>
      <c r="L38" s="107"/>
      <c r="M38" s="107"/>
      <c r="N38" s="107"/>
      <c r="O38" s="108"/>
    </row>
    <row r="39" spans="1:15" x14ac:dyDescent="0.35">
      <c r="A39" s="68" t="str">
        <f>Budget!A77</f>
        <v>Textbooks</v>
      </c>
      <c r="B39" s="81">
        <v>0</v>
      </c>
      <c r="C39" s="81">
        <v>0</v>
      </c>
      <c r="D39" s="81">
        <v>0</v>
      </c>
      <c r="E39" s="81">
        <v>0</v>
      </c>
      <c r="F39" s="81">
        <v>0</v>
      </c>
      <c r="G39" s="81">
        <v>0</v>
      </c>
      <c r="H39" s="81">
        <v>0</v>
      </c>
      <c r="I39" s="81">
        <v>0</v>
      </c>
      <c r="J39" s="81">
        <v>0</v>
      </c>
      <c r="K39" s="81">
        <v>0</v>
      </c>
      <c r="L39" s="81">
        <v>0</v>
      </c>
      <c r="M39" s="81">
        <v>0</v>
      </c>
      <c r="N39" s="59">
        <f t="shared" si="3"/>
        <v>0</v>
      </c>
      <c r="O39" s="29" t="str">
        <f>IF((N39-Budget!B77)&lt;2,IF((N39-Budget!B77)&gt;-2,"Yes","No"),"No")</f>
        <v>Yes</v>
      </c>
    </row>
    <row r="40" spans="1:15" x14ac:dyDescent="0.35">
      <c r="A40" s="67" t="str">
        <f>Budget!A78</f>
        <v>Classroom Supplies</v>
      </c>
      <c r="B40" s="82">
        <v>0</v>
      </c>
      <c r="C40" s="82">
        <v>0</v>
      </c>
      <c r="D40" s="82">
        <v>0</v>
      </c>
      <c r="E40" s="82">
        <v>0</v>
      </c>
      <c r="F40" s="82">
        <v>0</v>
      </c>
      <c r="G40" s="82">
        <v>0</v>
      </c>
      <c r="H40" s="82">
        <v>0</v>
      </c>
      <c r="I40" s="82">
        <v>0</v>
      </c>
      <c r="J40" s="82">
        <v>0</v>
      </c>
      <c r="K40" s="82">
        <v>0</v>
      </c>
      <c r="L40" s="82">
        <v>0</v>
      </c>
      <c r="M40" s="82">
        <v>0</v>
      </c>
      <c r="N40" s="61">
        <f t="shared" si="3"/>
        <v>0</v>
      </c>
      <c r="O40" s="28" t="str">
        <f>IF((N40-Budget!B78)&lt;2,IF((N40-Budget!B78)&gt;-2,"Yes","No"),"No")</f>
        <v>Yes</v>
      </c>
    </row>
    <row r="41" spans="1:15" x14ac:dyDescent="0.35">
      <c r="A41" s="68" t="str">
        <f>Budget!A79</f>
        <v>Computers</v>
      </c>
      <c r="B41" s="81">
        <v>0</v>
      </c>
      <c r="C41" s="81">
        <v>0</v>
      </c>
      <c r="D41" s="81">
        <v>0</v>
      </c>
      <c r="E41" s="81">
        <v>0</v>
      </c>
      <c r="F41" s="81">
        <v>0</v>
      </c>
      <c r="G41" s="81">
        <v>0</v>
      </c>
      <c r="H41" s="81">
        <v>0</v>
      </c>
      <c r="I41" s="81">
        <v>0</v>
      </c>
      <c r="J41" s="81">
        <v>0</v>
      </c>
      <c r="K41" s="81">
        <v>0</v>
      </c>
      <c r="L41" s="81">
        <v>0</v>
      </c>
      <c r="M41" s="81">
        <v>0</v>
      </c>
      <c r="N41" s="59">
        <f t="shared" si="3"/>
        <v>0</v>
      </c>
      <c r="O41" s="29" t="str">
        <f>IF((N41-Budget!B79)&lt;2,IF((N41-Budget!B79)&gt;-2,"Yes","No"),"No")</f>
        <v>Yes</v>
      </c>
    </row>
    <row r="42" spans="1:15" x14ac:dyDescent="0.35">
      <c r="A42" s="67" t="str">
        <f>Budget!A80</f>
        <v>Software</v>
      </c>
      <c r="B42" s="82">
        <v>0</v>
      </c>
      <c r="C42" s="82">
        <v>0</v>
      </c>
      <c r="D42" s="82">
        <v>0</v>
      </c>
      <c r="E42" s="82">
        <v>0</v>
      </c>
      <c r="F42" s="82">
        <v>0</v>
      </c>
      <c r="G42" s="82">
        <v>0</v>
      </c>
      <c r="H42" s="82">
        <v>0</v>
      </c>
      <c r="I42" s="82">
        <v>0</v>
      </c>
      <c r="J42" s="82">
        <v>0</v>
      </c>
      <c r="K42" s="82">
        <v>0</v>
      </c>
      <c r="L42" s="82">
        <v>0</v>
      </c>
      <c r="M42" s="82">
        <v>0</v>
      </c>
      <c r="N42" s="61">
        <f t="shared" si="3"/>
        <v>0</v>
      </c>
      <c r="O42" s="28" t="str">
        <f>IF((N42-Budget!B80)&lt;2,IF((N42-Budget!B80)&gt;-2,"Yes","No"),"No")</f>
        <v>Yes</v>
      </c>
    </row>
    <row r="43" spans="1:15" x14ac:dyDescent="0.35">
      <c r="A43" s="68" t="str">
        <f>Budget!A81</f>
        <v>Field Trips</v>
      </c>
      <c r="B43" s="81">
        <v>0</v>
      </c>
      <c r="C43" s="81">
        <v>0</v>
      </c>
      <c r="D43" s="81">
        <v>0</v>
      </c>
      <c r="E43" s="81">
        <v>0</v>
      </c>
      <c r="F43" s="81">
        <v>0</v>
      </c>
      <c r="G43" s="81">
        <v>0</v>
      </c>
      <c r="H43" s="81">
        <v>0</v>
      </c>
      <c r="I43" s="81">
        <v>0</v>
      </c>
      <c r="J43" s="81">
        <v>0</v>
      </c>
      <c r="K43" s="81">
        <v>0</v>
      </c>
      <c r="L43" s="81">
        <v>0</v>
      </c>
      <c r="M43" s="81">
        <v>0</v>
      </c>
      <c r="N43" s="59">
        <f t="shared" si="3"/>
        <v>0</v>
      </c>
      <c r="O43" s="29" t="str">
        <f>IF((N43-Budget!B81)&lt;2,IF((N43-Budget!B81)&gt;-2,"Yes","No"),"No")</f>
        <v>Yes</v>
      </c>
    </row>
    <row r="44" spans="1:15" x14ac:dyDescent="0.35">
      <c r="A44" s="67" t="str">
        <f>Budget!A82</f>
        <v>Instructional Equipment</v>
      </c>
      <c r="B44" s="82">
        <v>0</v>
      </c>
      <c r="C44" s="82">
        <v>0</v>
      </c>
      <c r="D44" s="82">
        <v>0</v>
      </c>
      <c r="E44" s="82">
        <v>0</v>
      </c>
      <c r="F44" s="82">
        <v>0</v>
      </c>
      <c r="G44" s="82">
        <v>0</v>
      </c>
      <c r="H44" s="82">
        <v>0</v>
      </c>
      <c r="I44" s="82">
        <v>0</v>
      </c>
      <c r="J44" s="82">
        <v>0</v>
      </c>
      <c r="K44" s="82">
        <v>0</v>
      </c>
      <c r="L44" s="82">
        <v>0</v>
      </c>
      <c r="M44" s="82">
        <v>0</v>
      </c>
      <c r="N44" s="61">
        <f t="shared" si="3"/>
        <v>0</v>
      </c>
      <c r="O44" s="28" t="str">
        <f>IF((N44-Budget!B82)&lt;2,IF((N44-Budget!B82)&gt;-2,"Yes","No"),"No")</f>
        <v>Yes</v>
      </c>
    </row>
    <row r="45" spans="1:15" x14ac:dyDescent="0.35">
      <c r="A45" s="68" t="str">
        <f>Budget!A83</f>
        <v>Library and Media Center</v>
      </c>
      <c r="B45" s="81">
        <v>0</v>
      </c>
      <c r="C45" s="81">
        <v>0</v>
      </c>
      <c r="D45" s="81">
        <v>0</v>
      </c>
      <c r="E45" s="81">
        <v>0</v>
      </c>
      <c r="F45" s="81">
        <v>0</v>
      </c>
      <c r="G45" s="81">
        <v>0</v>
      </c>
      <c r="H45" s="81">
        <v>0</v>
      </c>
      <c r="I45" s="81">
        <v>0</v>
      </c>
      <c r="J45" s="81">
        <v>0</v>
      </c>
      <c r="K45" s="81">
        <v>0</v>
      </c>
      <c r="L45" s="81">
        <v>0</v>
      </c>
      <c r="M45" s="81">
        <v>0</v>
      </c>
      <c r="N45" s="59">
        <f t="shared" si="3"/>
        <v>0</v>
      </c>
      <c r="O45" s="29" t="str">
        <f>IF((N45-Budget!B83)&lt;2,IF((N45-Budget!B83)&gt;-2,"Yes","No"),"No")</f>
        <v>Yes</v>
      </c>
    </row>
    <row r="46" spans="1:15" x14ac:dyDescent="0.35">
      <c r="A46" s="67" t="str">
        <f>Budget!A84</f>
        <v>Student Assessment</v>
      </c>
      <c r="B46" s="82">
        <v>0</v>
      </c>
      <c r="C46" s="82">
        <v>0</v>
      </c>
      <c r="D46" s="82">
        <v>0</v>
      </c>
      <c r="E46" s="82">
        <v>0</v>
      </c>
      <c r="F46" s="82">
        <v>0</v>
      </c>
      <c r="G46" s="82">
        <v>0</v>
      </c>
      <c r="H46" s="82">
        <v>0</v>
      </c>
      <c r="I46" s="82">
        <v>0</v>
      </c>
      <c r="J46" s="82">
        <v>0</v>
      </c>
      <c r="K46" s="82">
        <v>0</v>
      </c>
      <c r="L46" s="82">
        <v>0</v>
      </c>
      <c r="M46" s="82">
        <v>0</v>
      </c>
      <c r="N46" s="61">
        <f t="shared" si="3"/>
        <v>0</v>
      </c>
      <c r="O46" s="28" t="str">
        <f>IF((N46-Budget!B84)&lt;2,IF((N46-Budget!B84)&gt;-2,"Yes","No"),"No")</f>
        <v>Yes</v>
      </c>
    </row>
    <row r="47" spans="1:15" x14ac:dyDescent="0.35">
      <c r="A47" s="68" t="str">
        <f>Budget!A85</f>
        <v>Classroom Furniture</v>
      </c>
      <c r="B47" s="81">
        <v>0</v>
      </c>
      <c r="C47" s="81">
        <v>0</v>
      </c>
      <c r="D47" s="81">
        <v>0</v>
      </c>
      <c r="E47" s="81">
        <v>0</v>
      </c>
      <c r="F47" s="81">
        <v>0</v>
      </c>
      <c r="G47" s="81">
        <v>0</v>
      </c>
      <c r="H47" s="81">
        <v>0</v>
      </c>
      <c r="I47" s="81">
        <v>0</v>
      </c>
      <c r="J47" s="81">
        <v>0</v>
      </c>
      <c r="K47" s="81">
        <v>0</v>
      </c>
      <c r="L47" s="81">
        <v>0</v>
      </c>
      <c r="M47" s="81">
        <v>0</v>
      </c>
      <c r="N47" s="59">
        <f t="shared" si="3"/>
        <v>0</v>
      </c>
      <c r="O47" s="29" t="str">
        <f>IF((N47-Budget!B85)&lt;2,IF((N47-Budget!B85)&gt;-2,"Yes","No"),"No")</f>
        <v>Yes</v>
      </c>
    </row>
    <row r="48" spans="1:15" x14ac:dyDescent="0.35">
      <c r="A48" s="67" t="str">
        <f>Budget!A86</f>
        <v>PE Equipment</v>
      </c>
      <c r="B48" s="82">
        <v>0</v>
      </c>
      <c r="C48" s="82">
        <v>0</v>
      </c>
      <c r="D48" s="82">
        <v>0</v>
      </c>
      <c r="E48" s="82">
        <v>0</v>
      </c>
      <c r="F48" s="82">
        <v>0</v>
      </c>
      <c r="G48" s="82">
        <v>0</v>
      </c>
      <c r="H48" s="82">
        <v>0</v>
      </c>
      <c r="I48" s="82">
        <v>0</v>
      </c>
      <c r="J48" s="82">
        <v>0</v>
      </c>
      <c r="K48" s="82">
        <v>0</v>
      </c>
      <c r="L48" s="82">
        <v>0</v>
      </c>
      <c r="M48" s="82">
        <v>0</v>
      </c>
      <c r="N48" s="61">
        <f t="shared" si="3"/>
        <v>0</v>
      </c>
      <c r="O48" s="28" t="str">
        <f>IF((N48-Budget!B86)&lt;2,IF((N48-Budget!B86)&gt;-2,"Yes","No"),"No")</f>
        <v>Yes</v>
      </c>
    </row>
    <row r="49" spans="1:15" x14ac:dyDescent="0.35">
      <c r="A49" s="68" t="str">
        <f>Budget!A87</f>
        <v>Art Supplies</v>
      </c>
      <c r="B49" s="81">
        <v>0</v>
      </c>
      <c r="C49" s="81">
        <v>0</v>
      </c>
      <c r="D49" s="81">
        <v>0</v>
      </c>
      <c r="E49" s="81">
        <v>0</v>
      </c>
      <c r="F49" s="81">
        <v>0</v>
      </c>
      <c r="G49" s="81">
        <v>0</v>
      </c>
      <c r="H49" s="81">
        <v>0</v>
      </c>
      <c r="I49" s="81">
        <v>0</v>
      </c>
      <c r="J49" s="81">
        <v>0</v>
      </c>
      <c r="K49" s="81">
        <v>0</v>
      </c>
      <c r="L49" s="81">
        <v>0</v>
      </c>
      <c r="M49" s="81">
        <v>0</v>
      </c>
      <c r="N49" s="59">
        <f t="shared" si="3"/>
        <v>0</v>
      </c>
      <c r="O49" s="29" t="str">
        <f>IF((N49-Budget!B87)&lt;2,IF((N49-Budget!B87)&gt;-2,"Yes","No"),"No")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0</v>
      </c>
      <c r="N50" s="61">
        <f t="shared" si="3"/>
        <v>0</v>
      </c>
      <c r="O50" s="28" t="str">
        <f>IF((N50-Budget!B88)&lt;2,IF((N50-Budget!B88)&gt;-2,"Yes","No"),"No")</f>
        <v>Yes</v>
      </c>
    </row>
    <row r="51" spans="1:15" x14ac:dyDescent="0.35">
      <c r="A51" s="68">
        <f>Budget!A89</f>
        <v>0</v>
      </c>
      <c r="B51" s="81"/>
      <c r="C51" s="81"/>
      <c r="D51" s="81"/>
      <c r="E51" s="81"/>
      <c r="F51" s="81"/>
      <c r="G51" s="81"/>
      <c r="H51" s="81"/>
      <c r="I51" s="81"/>
      <c r="J51" s="81"/>
      <c r="K51" s="81"/>
      <c r="L51" s="81"/>
      <c r="M51" s="81"/>
      <c r="N51" s="59">
        <f t="shared" si="3"/>
        <v>0</v>
      </c>
      <c r="O51" s="29" t="str">
        <f>IF((N51-Budget!B89)&lt;2,IF((N51-Budget!B89)&gt;-2,"Yes","No"),"No")</f>
        <v>Yes</v>
      </c>
    </row>
    <row r="52" spans="1:15" x14ac:dyDescent="0.35">
      <c r="A52" s="67">
        <f>Budget!A90</f>
        <v>0</v>
      </c>
      <c r="B52" s="82"/>
      <c r="C52" s="82"/>
      <c r="D52" s="82"/>
      <c r="E52" s="82"/>
      <c r="F52" s="82"/>
      <c r="G52" s="82"/>
      <c r="H52" s="82"/>
      <c r="I52" s="82"/>
      <c r="J52" s="82"/>
      <c r="K52" s="82"/>
      <c r="L52" s="82"/>
      <c r="M52" s="82"/>
      <c r="N52" s="61">
        <f t="shared" si="3"/>
        <v>0</v>
      </c>
      <c r="O52" s="28" t="str">
        <f>IF((N52-Budget!B90)&lt;2,IF((N52-Budget!B90)&gt;-2,"Yes","No"),"No")</f>
        <v>Yes</v>
      </c>
    </row>
    <row r="53" spans="1:15" x14ac:dyDescent="0.35">
      <c r="A53" s="31">
        <f>Budget!A91</f>
        <v>0</v>
      </c>
      <c r="B53" s="81"/>
      <c r="C53" s="81"/>
      <c r="D53" s="81"/>
      <c r="E53" s="81"/>
      <c r="F53" s="81"/>
      <c r="G53" s="81"/>
      <c r="H53" s="81"/>
      <c r="I53" s="81"/>
      <c r="J53" s="81"/>
      <c r="K53" s="81"/>
      <c r="L53" s="81"/>
      <c r="M53" s="81"/>
      <c r="N53" s="59">
        <f t="shared" si="3"/>
        <v>0</v>
      </c>
      <c r="O53" s="29" t="str">
        <f>IF((N53-Budget!B91)&lt;2,IF((N53-Budget!B91)&gt;-2,"Yes","No"),"No")</f>
        <v>Yes</v>
      </c>
    </row>
    <row r="54" spans="1:15" ht="15.5" x14ac:dyDescent="0.35">
      <c r="A54" s="70" t="str">
        <f>Budget!A92</f>
        <v>Total Instructional Expenses</v>
      </c>
      <c r="B54" s="63">
        <f>SUM(B39:B53)</f>
        <v>0</v>
      </c>
      <c r="C54" s="63">
        <f t="shared" ref="C54:M54" si="5">SUM(C39:C53)</f>
        <v>0</v>
      </c>
      <c r="D54" s="63">
        <f t="shared" si="5"/>
        <v>0</v>
      </c>
      <c r="E54" s="63">
        <f t="shared" si="5"/>
        <v>0</v>
      </c>
      <c r="F54" s="63">
        <f t="shared" si="5"/>
        <v>0</v>
      </c>
      <c r="G54" s="63">
        <f t="shared" si="5"/>
        <v>0</v>
      </c>
      <c r="H54" s="63">
        <f t="shared" si="5"/>
        <v>0</v>
      </c>
      <c r="I54" s="63">
        <f t="shared" si="5"/>
        <v>0</v>
      </c>
      <c r="J54" s="63">
        <f t="shared" si="5"/>
        <v>0</v>
      </c>
      <c r="K54" s="63">
        <f t="shared" si="5"/>
        <v>0</v>
      </c>
      <c r="L54" s="63">
        <f t="shared" si="5"/>
        <v>0</v>
      </c>
      <c r="M54" s="63">
        <f t="shared" si="5"/>
        <v>0</v>
      </c>
      <c r="N54" s="63">
        <f t="shared" ref="N54" si="6">SUM(B54:M54)</f>
        <v>0</v>
      </c>
      <c r="O54" s="28" t="str">
        <f>IF((N54-Budget!B92)&lt;2,IF((N54-Budget!B92)&gt;-2,"Yes","No"),"No")</f>
        <v>Yes</v>
      </c>
    </row>
    <row r="55" spans="1:15" ht="18.5" x14ac:dyDescent="0.45">
      <c r="A55" s="106" t="str">
        <f>Budget!A93</f>
        <v xml:space="preserve">Services and Supplies </v>
      </c>
      <c r="B55" s="107"/>
      <c r="C55" s="107"/>
      <c r="D55" s="107"/>
      <c r="E55" s="107"/>
      <c r="F55" s="107"/>
      <c r="G55" s="107"/>
      <c r="H55" s="107"/>
      <c r="I55" s="107"/>
      <c r="J55" s="107"/>
      <c r="K55" s="107"/>
      <c r="L55" s="107"/>
      <c r="M55" s="107"/>
      <c r="N55" s="107"/>
      <c r="O55" s="108"/>
    </row>
    <row r="56" spans="1:15" x14ac:dyDescent="0.35">
      <c r="A56" s="71" t="str">
        <f>Budget!A94</f>
        <v>Student Uniforms</v>
      </c>
      <c r="B56" s="81">
        <v>0</v>
      </c>
      <c r="C56" s="81">
        <v>0</v>
      </c>
      <c r="D56" s="81">
        <v>0</v>
      </c>
      <c r="E56" s="81">
        <v>0</v>
      </c>
      <c r="F56" s="81">
        <v>0</v>
      </c>
      <c r="G56" s="81">
        <v>0</v>
      </c>
      <c r="H56" s="81">
        <v>0</v>
      </c>
      <c r="I56" s="81">
        <v>0</v>
      </c>
      <c r="J56" s="81">
        <v>0</v>
      </c>
      <c r="K56" s="81">
        <v>0</v>
      </c>
      <c r="L56" s="81">
        <v>0</v>
      </c>
      <c r="M56" s="81">
        <v>0</v>
      </c>
      <c r="N56" s="59">
        <f t="shared" ref="N56:N84" si="7">ROUND(SUM(B56:M56),0)</f>
        <v>0</v>
      </c>
      <c r="O56" s="29" t="str">
        <f>IF((N56-Budget!B94)&lt;2,IF((N56-Budget!B94)&gt;-2,"Yes","No"),"No")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7"/>
        <v>0</v>
      </c>
      <c r="O57" s="28" t="str">
        <f>IF((N57-Budget!B95)&lt;2,IF((N57-Budget!B95)&gt;-2,"Yes","No"),"No")</f>
        <v>Yes</v>
      </c>
    </row>
    <row r="58" spans="1:15" x14ac:dyDescent="0.35">
      <c r="A58" s="68" t="str">
        <f>Budget!A96</f>
        <v>Office Supplies</v>
      </c>
      <c r="B58" s="81">
        <v>25</v>
      </c>
      <c r="C58" s="81">
        <v>25</v>
      </c>
      <c r="D58" s="81">
        <v>0</v>
      </c>
      <c r="E58" s="81">
        <v>0</v>
      </c>
      <c r="F58" s="81">
        <v>0</v>
      </c>
      <c r="G58" s="81">
        <v>0</v>
      </c>
      <c r="H58" s="81">
        <v>0</v>
      </c>
      <c r="I58" s="81">
        <v>0</v>
      </c>
      <c r="J58" s="81">
        <v>0</v>
      </c>
      <c r="K58" s="81">
        <v>0</v>
      </c>
      <c r="L58" s="81">
        <v>25</v>
      </c>
      <c r="M58" s="81">
        <v>25</v>
      </c>
      <c r="N58" s="59">
        <f t="shared" si="7"/>
        <v>100</v>
      </c>
      <c r="O58" s="29" t="str">
        <f>IF((N58-Budget!B96)&lt;2,IF((N58-Budget!B96)&gt;-2,"Yes","No"),"No")</f>
        <v>Yes</v>
      </c>
    </row>
    <row r="59" spans="1:15" x14ac:dyDescent="0.35">
      <c r="A59" s="67" t="str">
        <f>Budget!A97</f>
        <v>Office Furniture</v>
      </c>
      <c r="B59" s="82">
        <v>0</v>
      </c>
      <c r="C59" s="82">
        <v>0</v>
      </c>
      <c r="D59" s="82">
        <v>0</v>
      </c>
      <c r="E59" s="82">
        <v>0</v>
      </c>
      <c r="F59" s="82">
        <v>0</v>
      </c>
      <c r="G59" s="82">
        <v>0</v>
      </c>
      <c r="H59" s="82">
        <v>0</v>
      </c>
      <c r="I59" s="82">
        <v>0</v>
      </c>
      <c r="J59" s="82">
        <v>0</v>
      </c>
      <c r="K59" s="82">
        <v>0</v>
      </c>
      <c r="L59" s="82">
        <v>0</v>
      </c>
      <c r="M59" s="82">
        <v>0</v>
      </c>
      <c r="N59" s="61">
        <f t="shared" si="7"/>
        <v>0</v>
      </c>
      <c r="O59" s="28" t="str">
        <f>IF((N59-Budget!B97)&lt;2,IF((N59-Budget!B97)&gt;-2,"Yes","No"),"No")</f>
        <v>Yes</v>
      </c>
    </row>
    <row r="60" spans="1:15" x14ac:dyDescent="0.35">
      <c r="A60" s="68" t="str">
        <f>Budget!A98</f>
        <v>Office Computers and Software</v>
      </c>
      <c r="B60" s="81">
        <v>0</v>
      </c>
      <c r="C60" s="81">
        <v>0</v>
      </c>
      <c r="D60" s="81">
        <v>0</v>
      </c>
      <c r="E60" s="81">
        <v>0</v>
      </c>
      <c r="F60" s="81">
        <v>0</v>
      </c>
      <c r="G60" s="81">
        <v>0</v>
      </c>
      <c r="H60" s="81">
        <v>0</v>
      </c>
      <c r="I60" s="81">
        <v>0</v>
      </c>
      <c r="J60" s="81">
        <v>0</v>
      </c>
      <c r="K60" s="81">
        <v>0</v>
      </c>
      <c r="L60" s="81">
        <v>0</v>
      </c>
      <c r="M60" s="81">
        <v>0</v>
      </c>
      <c r="N60" s="59">
        <f t="shared" si="7"/>
        <v>0</v>
      </c>
      <c r="O60" s="29" t="str">
        <f>IF((N60-Budget!B98)&lt;2,IF((N60-Budget!B98)&gt;-2,"Yes","No"),"No")</f>
        <v>Yes</v>
      </c>
    </row>
    <row r="61" spans="1:15" x14ac:dyDescent="0.35">
      <c r="A61" s="67" t="str">
        <f>Budget!A99</f>
        <v>Printing and Copying Services</v>
      </c>
      <c r="B61" s="82">
        <v>50</v>
      </c>
      <c r="C61" s="82">
        <v>50</v>
      </c>
      <c r="D61" s="82">
        <v>50</v>
      </c>
      <c r="E61" s="82">
        <v>0</v>
      </c>
      <c r="F61" s="82">
        <v>0</v>
      </c>
      <c r="G61" s="82">
        <v>0</v>
      </c>
      <c r="H61" s="82">
        <v>0</v>
      </c>
      <c r="I61" s="82">
        <v>0</v>
      </c>
      <c r="J61" s="82">
        <v>0</v>
      </c>
      <c r="K61" s="82">
        <v>0</v>
      </c>
      <c r="L61" s="82">
        <v>100</v>
      </c>
      <c r="M61" s="82">
        <v>50</v>
      </c>
      <c r="N61" s="61">
        <f t="shared" si="7"/>
        <v>300</v>
      </c>
      <c r="O61" s="28" t="str">
        <f>IF((N61-Budget!B99)&lt;2,IF((N61-Budget!B99)&gt;-2,"Yes","No"),"No")</f>
        <v>Yes</v>
      </c>
    </row>
    <row r="62" spans="1:15" x14ac:dyDescent="0.35">
      <c r="A62" s="68" t="str">
        <f>Budget!A100</f>
        <v>Postage and Shipping</v>
      </c>
      <c r="B62" s="81"/>
      <c r="C62" s="81"/>
      <c r="D62" s="81">
        <v>50</v>
      </c>
      <c r="E62" s="81"/>
      <c r="F62" s="81"/>
      <c r="G62" s="81">
        <v>10</v>
      </c>
      <c r="H62" s="81">
        <v>10</v>
      </c>
      <c r="I62" s="81">
        <v>10</v>
      </c>
      <c r="J62" s="81">
        <v>10</v>
      </c>
      <c r="K62" s="81">
        <v>10</v>
      </c>
      <c r="L62" s="81">
        <v>50</v>
      </c>
      <c r="M62" s="81">
        <v>50</v>
      </c>
      <c r="N62" s="59">
        <f t="shared" si="7"/>
        <v>200</v>
      </c>
      <c r="O62" s="29" t="str">
        <f>IF((N62-Budget!B100)&lt;2,IF((N62-Budget!B100)&gt;-2,"Yes","No"),"No")</f>
        <v>Yes</v>
      </c>
    </row>
    <row r="63" spans="1:15" x14ac:dyDescent="0.35">
      <c r="A63" s="67" t="str">
        <f>Budget!A101</f>
        <v>Bookkeeping</v>
      </c>
      <c r="B63" s="82">
        <v>0</v>
      </c>
      <c r="C63" s="82">
        <v>0</v>
      </c>
      <c r="D63" s="82">
        <v>0</v>
      </c>
      <c r="E63" s="82">
        <v>0</v>
      </c>
      <c r="F63" s="82">
        <v>0</v>
      </c>
      <c r="G63" s="82">
        <v>0</v>
      </c>
      <c r="H63" s="82">
        <v>0</v>
      </c>
      <c r="I63" s="82">
        <v>0</v>
      </c>
      <c r="J63" s="82">
        <v>0</v>
      </c>
      <c r="K63" s="82">
        <v>0</v>
      </c>
      <c r="L63" s="82">
        <v>0</v>
      </c>
      <c r="M63" s="82">
        <v>0</v>
      </c>
      <c r="N63" s="61">
        <f t="shared" si="7"/>
        <v>0</v>
      </c>
      <c r="O63" s="28" t="str">
        <f>IF((N63-Budget!B101)&lt;2,IF((N63-Budget!B101)&gt;-2,"Yes","No"),"No")</f>
        <v>Yes</v>
      </c>
    </row>
    <row r="64" spans="1:15" x14ac:dyDescent="0.35">
      <c r="A64" s="68" t="str">
        <f>Budget!A102</f>
        <v>Audit Fees</v>
      </c>
      <c r="B64" s="81">
        <v>0</v>
      </c>
      <c r="C64" s="81">
        <v>0</v>
      </c>
      <c r="D64" s="81">
        <v>0</v>
      </c>
      <c r="E64" s="81">
        <v>0</v>
      </c>
      <c r="F64" s="81">
        <v>0</v>
      </c>
      <c r="G64" s="81">
        <v>0</v>
      </c>
      <c r="H64" s="81">
        <v>0</v>
      </c>
      <c r="I64" s="81">
        <v>0</v>
      </c>
      <c r="J64" s="81">
        <v>0</v>
      </c>
      <c r="K64" s="81">
        <v>0</v>
      </c>
      <c r="L64" s="81">
        <v>0</v>
      </c>
      <c r="M64" s="81">
        <v>0</v>
      </c>
      <c r="N64" s="59">
        <f t="shared" si="7"/>
        <v>0</v>
      </c>
      <c r="O64" s="29" t="str">
        <f>IF((N64-Budget!B102)&lt;2,IF((N64-Budget!B102)&gt;-2,"Yes","No"),"No")</f>
        <v>Yes</v>
      </c>
    </row>
    <row r="65" spans="1:15" x14ac:dyDescent="0.35">
      <c r="A65" s="67" t="str">
        <f>Budget!A103</f>
        <v>Payroll Services</v>
      </c>
      <c r="B65" s="82">
        <v>0</v>
      </c>
      <c r="C65" s="82">
        <v>0</v>
      </c>
      <c r="D65" s="82">
        <v>0</v>
      </c>
      <c r="E65" s="82">
        <v>0</v>
      </c>
      <c r="F65" s="82">
        <v>0</v>
      </c>
      <c r="G65" s="82">
        <v>0</v>
      </c>
      <c r="H65" s="82">
        <v>0</v>
      </c>
      <c r="I65" s="82">
        <v>0</v>
      </c>
      <c r="J65" s="82">
        <v>0</v>
      </c>
      <c r="K65" s="82">
        <v>0</v>
      </c>
      <c r="L65" s="82">
        <v>0</v>
      </c>
      <c r="M65" s="82">
        <v>0</v>
      </c>
      <c r="N65" s="61">
        <f t="shared" si="7"/>
        <v>0</v>
      </c>
      <c r="O65" s="28" t="str">
        <f>IF((N65-Budget!B103)&lt;2,IF((N65-Budget!B103)&gt;-2,"Yes","No"),"No")</f>
        <v>Yes</v>
      </c>
    </row>
    <row r="66" spans="1:15" x14ac:dyDescent="0.35">
      <c r="A66" s="68" t="str">
        <f>Budget!A104</f>
        <v>Banking Fees</v>
      </c>
      <c r="B66" s="81">
        <v>0</v>
      </c>
      <c r="C66" s="81">
        <v>0</v>
      </c>
      <c r="D66" s="81">
        <v>0</v>
      </c>
      <c r="E66" s="81">
        <v>0</v>
      </c>
      <c r="F66" s="81">
        <v>0</v>
      </c>
      <c r="G66" s="81">
        <v>0</v>
      </c>
      <c r="H66" s="81">
        <v>0</v>
      </c>
      <c r="I66" s="81">
        <v>0</v>
      </c>
      <c r="J66" s="81">
        <v>0</v>
      </c>
      <c r="K66" s="81">
        <v>0</v>
      </c>
      <c r="L66" s="81">
        <v>0</v>
      </c>
      <c r="M66" s="81">
        <v>0</v>
      </c>
      <c r="N66" s="59">
        <f t="shared" si="7"/>
        <v>0</v>
      </c>
      <c r="O66" s="29" t="str">
        <f>IF((N66-Budget!B104)&lt;2,IF((N66-Budget!B104)&gt;-2,"Yes","No"),"No")</f>
        <v>Yes</v>
      </c>
    </row>
    <row r="67" spans="1:15" x14ac:dyDescent="0.35">
      <c r="A67" s="67" t="str">
        <f>Budget!A105</f>
        <v>Legal Fees</v>
      </c>
      <c r="B67" s="82">
        <v>0</v>
      </c>
      <c r="C67" s="82">
        <v>0</v>
      </c>
      <c r="D67" s="82">
        <v>0</v>
      </c>
      <c r="E67" s="82">
        <v>0</v>
      </c>
      <c r="F67" s="82">
        <v>0</v>
      </c>
      <c r="G67" s="82">
        <v>0</v>
      </c>
      <c r="H67" s="82">
        <v>0</v>
      </c>
      <c r="I67" s="82">
        <v>0</v>
      </c>
      <c r="J67" s="82">
        <v>0</v>
      </c>
      <c r="K67" s="82">
        <v>0</v>
      </c>
      <c r="L67" s="82">
        <v>0</v>
      </c>
      <c r="M67" s="82">
        <v>0</v>
      </c>
      <c r="N67" s="61">
        <f t="shared" si="7"/>
        <v>0</v>
      </c>
      <c r="O67" s="28" t="str">
        <f>IF((N67-Budget!B105)&lt;2,IF((N67-Budget!B105)&gt;-2,"Yes","No"),"No")</f>
        <v>Yes</v>
      </c>
    </row>
    <row r="68" spans="1:15" x14ac:dyDescent="0.35">
      <c r="A68" s="68" t="str">
        <f>Budget!A106</f>
        <v>Liability and Property Insurance</v>
      </c>
      <c r="B68" s="81">
        <v>0</v>
      </c>
      <c r="C68" s="81">
        <v>0</v>
      </c>
      <c r="D68" s="81">
        <v>0</v>
      </c>
      <c r="E68" s="81">
        <v>0</v>
      </c>
      <c r="F68" s="81">
        <v>0</v>
      </c>
      <c r="G68" s="81">
        <v>0</v>
      </c>
      <c r="H68" s="81">
        <v>0</v>
      </c>
      <c r="I68" s="81">
        <v>0</v>
      </c>
      <c r="J68" s="81">
        <v>0</v>
      </c>
      <c r="K68" s="81">
        <v>0</v>
      </c>
      <c r="L68" s="81">
        <v>0</v>
      </c>
      <c r="M68" s="81">
        <v>0</v>
      </c>
      <c r="N68" s="59">
        <f t="shared" si="7"/>
        <v>0</v>
      </c>
      <c r="O68" s="29" t="str">
        <f>IF((N68-Budget!B106)&lt;2,IF((N68-Budget!B106)&gt;-2,"Yes","No"),"No")</f>
        <v>Yes</v>
      </c>
    </row>
    <row r="69" spans="1:15" x14ac:dyDescent="0.35">
      <c r="A69" s="67" t="str">
        <f>Budget!A107</f>
        <v>Staff Development</v>
      </c>
      <c r="B69" s="82">
        <v>0</v>
      </c>
      <c r="C69" s="82">
        <v>0</v>
      </c>
      <c r="D69" s="82">
        <v>0</v>
      </c>
      <c r="E69" s="82">
        <v>0</v>
      </c>
      <c r="F69" s="82">
        <v>0</v>
      </c>
      <c r="G69" s="82">
        <v>0</v>
      </c>
      <c r="H69" s="82">
        <v>0</v>
      </c>
      <c r="I69" s="82">
        <v>0</v>
      </c>
      <c r="J69" s="82">
        <v>0</v>
      </c>
      <c r="K69" s="82">
        <v>0</v>
      </c>
      <c r="L69" s="82">
        <v>0</v>
      </c>
      <c r="M69" s="82">
        <v>0</v>
      </c>
      <c r="N69" s="61">
        <f t="shared" si="7"/>
        <v>0</v>
      </c>
      <c r="O69" s="28" t="str">
        <f>IF((N69-Budget!B107)&lt;2,IF((N69-Budget!B107)&gt;-2,"Yes","No"),"No")</f>
        <v>Yes</v>
      </c>
    </row>
    <row r="70" spans="1:15" x14ac:dyDescent="0.35">
      <c r="A70" s="68" t="str">
        <f>Budget!A108</f>
        <v>Special Education Contracted Services</v>
      </c>
      <c r="B70" s="81">
        <v>0</v>
      </c>
      <c r="C70" s="81">
        <v>0</v>
      </c>
      <c r="D70" s="81">
        <v>0</v>
      </c>
      <c r="E70" s="81">
        <v>0</v>
      </c>
      <c r="F70" s="81">
        <v>0</v>
      </c>
      <c r="G70" s="81">
        <v>0</v>
      </c>
      <c r="H70" s="81">
        <v>0</v>
      </c>
      <c r="I70" s="81">
        <v>0</v>
      </c>
      <c r="J70" s="81">
        <v>0</v>
      </c>
      <c r="K70" s="81">
        <v>0</v>
      </c>
      <c r="L70" s="81">
        <v>0</v>
      </c>
      <c r="M70" s="81">
        <v>0</v>
      </c>
      <c r="N70" s="59">
        <f t="shared" si="7"/>
        <v>0</v>
      </c>
      <c r="O70" s="29" t="str">
        <f>IF((N70-Budget!B108)&lt;2,IF((N70-Budget!B108)&gt;-2,"Yes","No"),"No")</f>
        <v>Yes</v>
      </c>
    </row>
    <row r="71" spans="1:15" x14ac:dyDescent="0.35">
      <c r="A71" s="67" t="str">
        <f>Budget!A109</f>
        <v>Health Services and Supplies</v>
      </c>
      <c r="B71" s="82">
        <v>0</v>
      </c>
      <c r="C71" s="82">
        <v>0</v>
      </c>
      <c r="D71" s="82">
        <v>0</v>
      </c>
      <c r="E71" s="82">
        <v>0</v>
      </c>
      <c r="F71" s="82">
        <v>0</v>
      </c>
      <c r="G71" s="82">
        <v>0</v>
      </c>
      <c r="H71" s="82">
        <v>0</v>
      </c>
      <c r="I71" s="82">
        <v>0</v>
      </c>
      <c r="J71" s="82">
        <v>0</v>
      </c>
      <c r="K71" s="82">
        <v>0</v>
      </c>
      <c r="L71" s="82">
        <v>0</v>
      </c>
      <c r="M71" s="82">
        <v>0</v>
      </c>
      <c r="N71" s="61">
        <f t="shared" si="7"/>
        <v>0</v>
      </c>
      <c r="O71" s="28" t="str">
        <f>IF((N71-Budget!B109)&lt;2,IF((N71-Budget!B109)&gt;-2,"Yes","No"),"No")</f>
        <v>Yes</v>
      </c>
    </row>
    <row r="72" spans="1:15" x14ac:dyDescent="0.35">
      <c r="A72" s="68" t="str">
        <f>Budget!A110</f>
        <v>Staff Recruitment</v>
      </c>
      <c r="B72" s="81"/>
      <c r="C72" s="81">
        <v>100</v>
      </c>
      <c r="D72" s="81">
        <v>150</v>
      </c>
      <c r="E72" s="81"/>
      <c r="F72" s="81"/>
      <c r="G72" s="81">
        <v>50</v>
      </c>
      <c r="H72" s="81"/>
      <c r="I72" s="81">
        <v>150</v>
      </c>
      <c r="J72" s="81">
        <v>50</v>
      </c>
      <c r="K72" s="81">
        <v>50</v>
      </c>
      <c r="L72" s="81"/>
      <c r="M72" s="81">
        <v>50</v>
      </c>
      <c r="N72" s="59">
        <f t="shared" si="7"/>
        <v>600</v>
      </c>
      <c r="O72" s="29" t="str">
        <f>IF((N72-Budget!B110)&lt;2,IF((N72-Budget!B110)&gt;-2,"Yes","No"),"No")</f>
        <v>Yes</v>
      </c>
    </row>
    <row r="73" spans="1:15" x14ac:dyDescent="0.35">
      <c r="A73" s="67" t="str">
        <f>Budget!A111</f>
        <v>Student Recruitment</v>
      </c>
      <c r="B73" s="82"/>
      <c r="C73" s="82">
        <v>100</v>
      </c>
      <c r="D73" s="82"/>
      <c r="E73" s="82"/>
      <c r="F73" s="82"/>
      <c r="G73" s="82">
        <v>100</v>
      </c>
      <c r="H73" s="82"/>
      <c r="I73" s="82"/>
      <c r="J73" s="82"/>
      <c r="K73" s="82"/>
      <c r="L73" s="82">
        <v>100</v>
      </c>
      <c r="M73" s="82">
        <v>100</v>
      </c>
      <c r="N73" s="61">
        <f t="shared" si="7"/>
        <v>400</v>
      </c>
      <c r="O73" s="28" t="str">
        <f>IF((N73-Budget!B111)&lt;2,IF((N73-Budget!B111)&gt;-2,"Yes","No"),"No")</f>
        <v>Yes</v>
      </c>
    </row>
    <row r="74" spans="1:15" x14ac:dyDescent="0.35">
      <c r="A74" s="68" t="str">
        <f>Budget!A112</f>
        <v>Technology Support</v>
      </c>
      <c r="B74" s="81">
        <v>0</v>
      </c>
      <c r="C74" s="81">
        <v>0</v>
      </c>
      <c r="D74" s="81">
        <v>0</v>
      </c>
      <c r="E74" s="81">
        <v>0</v>
      </c>
      <c r="F74" s="81">
        <v>0</v>
      </c>
      <c r="G74" s="81">
        <v>0</v>
      </c>
      <c r="H74" s="81">
        <v>0</v>
      </c>
      <c r="I74" s="81">
        <v>0</v>
      </c>
      <c r="J74" s="81">
        <v>0</v>
      </c>
      <c r="K74" s="81">
        <v>0</v>
      </c>
      <c r="L74" s="81">
        <v>0</v>
      </c>
      <c r="M74" s="81">
        <v>0</v>
      </c>
      <c r="N74" s="59">
        <f t="shared" si="7"/>
        <v>0</v>
      </c>
      <c r="O74" s="29" t="str">
        <f>IF((N74-Budget!B112)&lt;2,IF((N74-Budget!B112)&gt;-2,"Yes","No"),"No")</f>
        <v>Yes</v>
      </c>
    </row>
    <row r="75" spans="1:15" x14ac:dyDescent="0.35">
      <c r="A75" s="67" t="str">
        <f>Budget!A113</f>
        <v>Phone/Internet Service</v>
      </c>
      <c r="B75" s="82">
        <v>0</v>
      </c>
      <c r="C75" s="82">
        <v>0</v>
      </c>
      <c r="D75" s="82">
        <v>0</v>
      </c>
      <c r="E75" s="82">
        <v>0</v>
      </c>
      <c r="F75" s="82">
        <v>0</v>
      </c>
      <c r="G75" s="82">
        <v>0</v>
      </c>
      <c r="H75" s="82">
        <v>0</v>
      </c>
      <c r="I75" s="82">
        <v>0</v>
      </c>
      <c r="J75" s="82">
        <v>0</v>
      </c>
      <c r="K75" s="82">
        <v>0</v>
      </c>
      <c r="L75" s="82">
        <v>0</v>
      </c>
      <c r="M75" s="82">
        <v>0</v>
      </c>
      <c r="N75" s="61">
        <f t="shared" si="7"/>
        <v>0</v>
      </c>
      <c r="O75" s="28" t="str">
        <f>IF((N75-Budget!B113)&lt;2,IF((N75-Budget!B113)&gt;-2,"Yes","No"),"No")</f>
        <v>Yes</v>
      </c>
    </row>
    <row r="76" spans="1:15" x14ac:dyDescent="0.35">
      <c r="A76" s="68" t="str">
        <f>Budget!A114</f>
        <v>Food Service</v>
      </c>
      <c r="B76" s="81">
        <v>0</v>
      </c>
      <c r="C76" s="81">
        <v>0</v>
      </c>
      <c r="D76" s="81">
        <v>0</v>
      </c>
      <c r="E76" s="81">
        <v>0</v>
      </c>
      <c r="F76" s="81">
        <v>0</v>
      </c>
      <c r="G76" s="81">
        <v>0</v>
      </c>
      <c r="H76" s="81">
        <v>0</v>
      </c>
      <c r="I76" s="81">
        <v>0</v>
      </c>
      <c r="J76" s="81">
        <v>0</v>
      </c>
      <c r="K76" s="81">
        <v>0</v>
      </c>
      <c r="L76" s="81">
        <v>0</v>
      </c>
      <c r="M76" s="81">
        <v>0</v>
      </c>
      <c r="N76" s="59">
        <f t="shared" si="7"/>
        <v>0</v>
      </c>
      <c r="O76" s="29" t="str">
        <f>IF((N76-Budget!B114)&lt;2,IF((N76-Budget!B114)&gt;-2,"Yes","No"),"No")</f>
        <v>Yes</v>
      </c>
    </row>
    <row r="77" spans="1:15" x14ac:dyDescent="0.35">
      <c r="A77" s="67" t="str">
        <f>Budget!A115</f>
        <v>Transportation</v>
      </c>
      <c r="B77" s="82">
        <v>0</v>
      </c>
      <c r="C77" s="82">
        <v>0</v>
      </c>
      <c r="D77" s="82">
        <v>0</v>
      </c>
      <c r="E77" s="82">
        <v>0</v>
      </c>
      <c r="F77" s="82">
        <v>0</v>
      </c>
      <c r="G77" s="82">
        <v>0</v>
      </c>
      <c r="H77" s="82">
        <v>0</v>
      </c>
      <c r="I77" s="82">
        <v>0</v>
      </c>
      <c r="J77" s="82">
        <v>0</v>
      </c>
      <c r="K77" s="82">
        <v>0</v>
      </c>
      <c r="L77" s="82">
        <v>0</v>
      </c>
      <c r="M77" s="82">
        <v>0</v>
      </c>
      <c r="N77" s="61">
        <f t="shared" si="7"/>
        <v>0</v>
      </c>
      <c r="O77" s="28" t="str">
        <f>IF((N77-Budget!B115)&lt;2,IF((N77-Budget!B115)&gt;-2,"Yes","No"),"No")</f>
        <v>Yes</v>
      </c>
    </row>
    <row r="78" spans="1:15" x14ac:dyDescent="0.35">
      <c r="A78" s="68" t="str">
        <f>Budget!A116</f>
        <v>Pest Control</v>
      </c>
      <c r="B78" s="81">
        <v>0</v>
      </c>
      <c r="C78" s="81">
        <v>0</v>
      </c>
      <c r="D78" s="81">
        <v>0</v>
      </c>
      <c r="E78" s="81">
        <v>0</v>
      </c>
      <c r="F78" s="81">
        <v>0</v>
      </c>
      <c r="G78" s="81">
        <v>0</v>
      </c>
      <c r="H78" s="81">
        <v>0</v>
      </c>
      <c r="I78" s="81">
        <v>0</v>
      </c>
      <c r="J78" s="81">
        <v>0</v>
      </c>
      <c r="K78" s="81">
        <v>0</v>
      </c>
      <c r="L78" s="81">
        <v>0</v>
      </c>
      <c r="M78" s="81">
        <v>0</v>
      </c>
      <c r="N78" s="59">
        <f t="shared" si="7"/>
        <v>0</v>
      </c>
      <c r="O78" s="29" t="str">
        <f>IF((N78-Budget!B116)&lt;2,IF((N78-Budget!B116)&gt;-2,"Yes","No"),"No")</f>
        <v>Yes</v>
      </c>
    </row>
    <row r="79" spans="1:15" x14ac:dyDescent="0.35">
      <c r="A79" s="67" t="str">
        <f>Budget!A117</f>
        <v>Janitorial Supplies and Services</v>
      </c>
      <c r="B79" s="82">
        <v>0</v>
      </c>
      <c r="C79" s="82">
        <v>0</v>
      </c>
      <c r="D79" s="82">
        <v>0</v>
      </c>
      <c r="E79" s="82">
        <v>0</v>
      </c>
      <c r="F79" s="82">
        <v>0</v>
      </c>
      <c r="G79" s="82">
        <v>0</v>
      </c>
      <c r="H79" s="82">
        <v>0</v>
      </c>
      <c r="I79" s="82">
        <v>0</v>
      </c>
      <c r="J79" s="82">
        <v>0</v>
      </c>
      <c r="K79" s="82">
        <v>0</v>
      </c>
      <c r="L79" s="82">
        <v>0</v>
      </c>
      <c r="M79" s="82">
        <v>0</v>
      </c>
      <c r="N79" s="61">
        <f t="shared" si="7"/>
        <v>0</v>
      </c>
      <c r="O79" s="28" t="str">
        <f>IF((N79-Budget!B117)&lt;2,IF((N79-Budget!B117)&gt;-2,"Yes","No"),"No")</f>
        <v>Yes</v>
      </c>
    </row>
    <row r="80" spans="1:15" x14ac:dyDescent="0.35">
      <c r="A80" s="68" t="str">
        <f>Budget!A118</f>
        <v>Waste Disposal</v>
      </c>
      <c r="B80" s="81">
        <v>0</v>
      </c>
      <c r="C80" s="81">
        <v>0</v>
      </c>
      <c r="D80" s="81">
        <v>0</v>
      </c>
      <c r="E80" s="81">
        <v>0</v>
      </c>
      <c r="F80" s="81">
        <v>0</v>
      </c>
      <c r="G80" s="81">
        <v>0</v>
      </c>
      <c r="H80" s="81">
        <v>0</v>
      </c>
      <c r="I80" s="81">
        <v>0</v>
      </c>
      <c r="J80" s="81">
        <v>0</v>
      </c>
      <c r="K80" s="81">
        <v>0</v>
      </c>
      <c r="L80" s="81">
        <v>0</v>
      </c>
      <c r="M80" s="81">
        <v>0</v>
      </c>
      <c r="N80" s="59">
        <f t="shared" si="7"/>
        <v>0</v>
      </c>
      <c r="O80" s="29" t="str">
        <f>IF((N80-Budget!B118)&lt;2,IF((N80-Budget!B118)&gt;-2,"Yes","No"),"No")</f>
        <v>Yes</v>
      </c>
    </row>
    <row r="81" spans="1:15" x14ac:dyDescent="0.35">
      <c r="A81" s="67" t="str">
        <f>Budget!A119</f>
        <v>Marketing</v>
      </c>
      <c r="B81" s="82"/>
      <c r="C81" s="82">
        <v>500</v>
      </c>
      <c r="D81" s="82">
        <v>100</v>
      </c>
      <c r="E81" s="82">
        <v>100</v>
      </c>
      <c r="F81" s="82">
        <v>100</v>
      </c>
      <c r="G81" s="82">
        <v>100</v>
      </c>
      <c r="H81" s="82">
        <v>100</v>
      </c>
      <c r="I81" s="82">
        <v>900</v>
      </c>
      <c r="J81" s="82">
        <v>100</v>
      </c>
      <c r="K81" s="82">
        <v>1000</v>
      </c>
      <c r="L81" s="82">
        <v>1000</v>
      </c>
      <c r="M81" s="82">
        <v>1000</v>
      </c>
      <c r="N81" s="61">
        <f t="shared" si="7"/>
        <v>5000</v>
      </c>
      <c r="O81" s="28" t="str">
        <f>IF((N81-Budget!B119)&lt;2,IF((N81-Budget!B119)&gt;-2,"Yes","No"),"No")</f>
        <v>Yes</v>
      </c>
    </row>
    <row r="82" spans="1:15" ht="29" x14ac:dyDescent="0.35">
      <c r="A82" s="68" t="str">
        <f>Budget!A120</f>
        <v>EMO (Educational Mgt Organization)/CMO (Charter Mgt. Organization) Fees</v>
      </c>
      <c r="B82" s="81">
        <v>0</v>
      </c>
      <c r="C82" s="81">
        <v>0</v>
      </c>
      <c r="D82" s="81">
        <v>0</v>
      </c>
      <c r="E82" s="81">
        <v>0</v>
      </c>
      <c r="F82" s="81">
        <v>0</v>
      </c>
      <c r="G82" s="81">
        <v>0</v>
      </c>
      <c r="H82" s="81">
        <v>0</v>
      </c>
      <c r="I82" s="81">
        <v>0</v>
      </c>
      <c r="J82" s="81">
        <v>0</v>
      </c>
      <c r="K82" s="81">
        <v>0</v>
      </c>
      <c r="L82" s="81">
        <v>0</v>
      </c>
      <c r="M82" s="81">
        <v>0</v>
      </c>
      <c r="N82" s="59">
        <f t="shared" si="7"/>
        <v>0</v>
      </c>
      <c r="O82" s="29" t="str">
        <f>IF((N82-Budget!B120)&lt;2,IF((N82-Budget!B120)&gt;-2,"Yes","No"),"No")</f>
        <v>Yes</v>
      </c>
    </row>
    <row r="83" spans="1:15" x14ac:dyDescent="0.35">
      <c r="A83" s="69">
        <f>Budget!A121</f>
        <v>0</v>
      </c>
      <c r="B83" s="84"/>
      <c r="C83" s="84"/>
      <c r="D83" s="84"/>
      <c r="E83" s="84"/>
      <c r="F83" s="84"/>
      <c r="G83" s="84"/>
      <c r="H83" s="84"/>
      <c r="I83" s="84"/>
      <c r="J83" s="84"/>
      <c r="K83" s="84"/>
      <c r="L83" s="84"/>
      <c r="M83" s="84"/>
      <c r="N83" s="61">
        <f t="shared" si="7"/>
        <v>0</v>
      </c>
      <c r="O83" s="28" t="str">
        <f>IF((N83-Budget!B121)&lt;2,IF((N83-Budget!B121)&gt;-2,"Yes","No"),"No")</f>
        <v>Yes</v>
      </c>
    </row>
    <row r="84" spans="1:15" x14ac:dyDescent="0.35">
      <c r="A84" s="68">
        <f>Budget!A122</f>
        <v>0</v>
      </c>
      <c r="B84" s="81"/>
      <c r="C84" s="81"/>
      <c r="D84" s="81"/>
      <c r="E84" s="81"/>
      <c r="F84" s="81"/>
      <c r="G84" s="81"/>
      <c r="H84" s="81"/>
      <c r="I84" s="81"/>
      <c r="J84" s="81"/>
      <c r="K84" s="81"/>
      <c r="L84" s="81"/>
      <c r="M84" s="81"/>
      <c r="N84" s="59">
        <f t="shared" si="7"/>
        <v>0</v>
      </c>
      <c r="O84" s="29" t="str">
        <f>IF((N84-Budget!B122)&lt;2,IF((N84-Budget!B122)&gt;-2,"Yes","No"),"No")</f>
        <v>Yes</v>
      </c>
    </row>
    <row r="85" spans="1:15" ht="15.5" x14ac:dyDescent="0.35">
      <c r="A85" s="70" t="str">
        <f>Budget!A123</f>
        <v>Total Services and Supplies Expenses</v>
      </c>
      <c r="B85" s="72">
        <f t="shared" ref="B85:M85" si="8">SUM(B56:B84)</f>
        <v>75</v>
      </c>
      <c r="C85" s="72">
        <f t="shared" si="8"/>
        <v>775</v>
      </c>
      <c r="D85" s="72">
        <f t="shared" si="8"/>
        <v>350</v>
      </c>
      <c r="E85" s="72">
        <f t="shared" si="8"/>
        <v>100</v>
      </c>
      <c r="F85" s="72">
        <f t="shared" si="8"/>
        <v>100</v>
      </c>
      <c r="G85" s="72">
        <f t="shared" si="8"/>
        <v>260</v>
      </c>
      <c r="H85" s="72">
        <f t="shared" si="8"/>
        <v>110</v>
      </c>
      <c r="I85" s="72">
        <f t="shared" si="8"/>
        <v>1060</v>
      </c>
      <c r="J85" s="72">
        <f t="shared" si="8"/>
        <v>160</v>
      </c>
      <c r="K85" s="72">
        <f t="shared" si="8"/>
        <v>1060</v>
      </c>
      <c r="L85" s="72">
        <f t="shared" si="8"/>
        <v>1275</v>
      </c>
      <c r="M85" s="72">
        <f t="shared" si="8"/>
        <v>1275</v>
      </c>
      <c r="N85" s="63">
        <f t="shared" ref="N85" si="9">SUM(B85:M85)</f>
        <v>6600</v>
      </c>
      <c r="O85" s="28" t="str">
        <f>IF((N85-Budget!B123)&lt;2,IF((N85-Budget!B123)&gt;-2,"Yes","No"),"No")</f>
        <v>Yes</v>
      </c>
    </row>
    <row r="86" spans="1:15" ht="18.5" x14ac:dyDescent="0.45">
      <c r="A86" s="106" t="str">
        <f>Budget!A124</f>
        <v>Facilities</v>
      </c>
      <c r="B86" s="107"/>
      <c r="C86" s="107"/>
      <c r="D86" s="107"/>
      <c r="E86" s="107"/>
      <c r="F86" s="107"/>
      <c r="G86" s="107"/>
      <c r="H86" s="107"/>
      <c r="I86" s="107"/>
      <c r="J86" s="107"/>
      <c r="K86" s="107"/>
      <c r="L86" s="107"/>
      <c r="M86" s="107"/>
      <c r="N86" s="107"/>
      <c r="O86" s="108"/>
    </row>
    <row r="87" spans="1:15" x14ac:dyDescent="0.35">
      <c r="A87" s="68" t="str">
        <f>Budget!A125</f>
        <v>Rent/Lease/Mortgage</v>
      </c>
      <c r="B87" s="81"/>
      <c r="C87" s="81"/>
      <c r="D87" s="81"/>
      <c r="E87" s="81"/>
      <c r="F87" s="81"/>
      <c r="G87" s="81"/>
      <c r="H87" s="81"/>
      <c r="I87" s="81"/>
      <c r="J87" s="81"/>
      <c r="K87" s="81"/>
      <c r="L87" s="81"/>
      <c r="M87" s="81"/>
      <c r="N87" s="59">
        <f t="shared" ref="N87:N94" si="10">ROUND(SUM(B87:M87),0)</f>
        <v>0</v>
      </c>
      <c r="O87" s="29" t="str">
        <f>IF((N87-Budget!B125)&lt;2,IF((N87-Budget!B125)&gt;-2,"Yes","No"),"No")</f>
        <v>Yes</v>
      </c>
    </row>
    <row r="88" spans="1:15" x14ac:dyDescent="0.35">
      <c r="A88" s="67" t="str">
        <f>Budget!A126</f>
        <v>Grounds Maintenance</v>
      </c>
      <c r="B88" s="82">
        <v>0</v>
      </c>
      <c r="C88" s="82">
        <v>0</v>
      </c>
      <c r="D88" s="82">
        <v>0</v>
      </c>
      <c r="E88" s="82">
        <v>0</v>
      </c>
      <c r="F88" s="82">
        <v>0</v>
      </c>
      <c r="G88" s="82">
        <v>0</v>
      </c>
      <c r="H88" s="82">
        <v>0</v>
      </c>
      <c r="I88" s="82">
        <v>0</v>
      </c>
      <c r="J88" s="82">
        <v>0</v>
      </c>
      <c r="K88" s="82">
        <v>0</v>
      </c>
      <c r="L88" s="82">
        <v>0</v>
      </c>
      <c r="M88" s="82">
        <v>0</v>
      </c>
      <c r="N88" s="61">
        <f t="shared" si="10"/>
        <v>0</v>
      </c>
      <c r="O88" s="28" t="str">
        <f>IF((N88-Budget!B126)&lt;2,IF((N88-Budget!B126)&gt;-2,"Yes","No"),"No")</f>
        <v>Yes</v>
      </c>
    </row>
    <row r="89" spans="1:15" x14ac:dyDescent="0.35">
      <c r="A89" s="68" t="str">
        <f>Budget!A127</f>
        <v>Facility Maintenance and Repair</v>
      </c>
      <c r="B89" s="81"/>
      <c r="C89" s="81"/>
      <c r="D89" s="81"/>
      <c r="E89" s="81"/>
      <c r="F89" s="81"/>
      <c r="G89" s="81"/>
      <c r="H89" s="81"/>
      <c r="I89" s="81"/>
      <c r="J89" s="81"/>
      <c r="K89" s="81"/>
      <c r="L89" s="81"/>
      <c r="M89" s="81"/>
      <c r="N89" s="59">
        <f t="shared" si="10"/>
        <v>0</v>
      </c>
      <c r="O89" s="29" t="str">
        <f>IF((N89-Budget!B127)&lt;2,IF((N89-Budget!B127)&gt;-2,"Yes","No"),"No")</f>
        <v>Yes</v>
      </c>
    </row>
    <row r="90" spans="1:15" x14ac:dyDescent="0.35">
      <c r="A90" s="67" t="str">
        <f>Budget!A128</f>
        <v>Utilities</v>
      </c>
      <c r="B90" s="82">
        <v>0</v>
      </c>
      <c r="C90" s="82">
        <v>0</v>
      </c>
      <c r="D90" s="82">
        <v>0</v>
      </c>
      <c r="E90" s="82">
        <v>0</v>
      </c>
      <c r="F90" s="82">
        <v>0</v>
      </c>
      <c r="G90" s="82">
        <v>0</v>
      </c>
      <c r="H90" s="82">
        <v>0</v>
      </c>
      <c r="I90" s="82">
        <v>0</v>
      </c>
      <c r="J90" s="82">
        <v>0</v>
      </c>
      <c r="K90" s="82">
        <v>0</v>
      </c>
      <c r="L90" s="82">
        <v>0</v>
      </c>
      <c r="M90" s="82">
        <v>0</v>
      </c>
      <c r="N90" s="61">
        <f t="shared" si="10"/>
        <v>0</v>
      </c>
      <c r="O90" s="28" t="str">
        <f>IF((N90-Budget!B128)&lt;2,IF((N90-Budget!B128)&gt;-2,"Yes","No"),"No")</f>
        <v>Yes</v>
      </c>
    </row>
    <row r="91" spans="1:15" ht="29" x14ac:dyDescent="0.35">
      <c r="A91" s="68" t="str">
        <f>Budget!A129</f>
        <v>Fire and Occupational Safety and Compliance</v>
      </c>
      <c r="B91" s="81"/>
      <c r="C91" s="81"/>
      <c r="D91" s="81"/>
      <c r="E91" s="81"/>
      <c r="F91" s="81"/>
      <c r="G91" s="81"/>
      <c r="H91" s="81"/>
      <c r="I91" s="81"/>
      <c r="J91" s="81"/>
      <c r="K91" s="81"/>
      <c r="L91" s="81"/>
      <c r="M91" s="81"/>
      <c r="N91" s="59">
        <f t="shared" si="10"/>
        <v>0</v>
      </c>
      <c r="O91" s="29" t="str">
        <f>IF((N91-Budget!B129)&lt;2,IF((N91-Budget!B129)&gt;-2,"Yes","No"),"No")</f>
        <v>Yes</v>
      </c>
    </row>
    <row r="92" spans="1:15" x14ac:dyDescent="0.35">
      <c r="A92" s="67">
        <f>Budget!A130</f>
        <v>0</v>
      </c>
      <c r="B92" s="82"/>
      <c r="C92" s="82"/>
      <c r="D92" s="82"/>
      <c r="E92" s="82"/>
      <c r="F92" s="82"/>
      <c r="G92" s="82"/>
      <c r="H92" s="82"/>
      <c r="I92" s="82"/>
      <c r="J92" s="82"/>
      <c r="K92" s="82"/>
      <c r="L92" s="82"/>
      <c r="M92" s="82"/>
      <c r="N92" s="61">
        <f t="shared" si="10"/>
        <v>0</v>
      </c>
      <c r="O92" s="28" t="str">
        <f>IF((N92-Budget!B130)&lt;2,IF((N92-Budget!B130)&gt;-2,"Yes","No"),"No")</f>
        <v>Yes</v>
      </c>
    </row>
    <row r="93" spans="1:15" x14ac:dyDescent="0.35">
      <c r="A93" s="31">
        <f>Budget!A131</f>
        <v>0</v>
      </c>
      <c r="B93" s="81"/>
      <c r="C93" s="81"/>
      <c r="D93" s="81"/>
      <c r="E93" s="81"/>
      <c r="F93" s="81"/>
      <c r="G93" s="81"/>
      <c r="H93" s="81"/>
      <c r="I93" s="81"/>
      <c r="J93" s="81"/>
      <c r="K93" s="81"/>
      <c r="L93" s="81"/>
      <c r="M93" s="81"/>
      <c r="N93" s="59">
        <f t="shared" si="10"/>
        <v>0</v>
      </c>
      <c r="O93" s="29" t="str">
        <f>IF((N93-Budget!B131)&lt;2,IF((N93-Budget!B131)&gt;-2,"Yes","No"),"No")</f>
        <v>Yes</v>
      </c>
    </row>
    <row r="94" spans="1:15" ht="15.5" x14ac:dyDescent="0.35">
      <c r="A94" s="70" t="str">
        <f>Budget!A132</f>
        <v>Total Facilities Expenses</v>
      </c>
      <c r="B94" s="63">
        <f>SUM(B87:B93)</f>
        <v>0</v>
      </c>
      <c r="C94" s="63">
        <f t="shared" ref="C94:M94" si="11">SUM(C87:C93)</f>
        <v>0</v>
      </c>
      <c r="D94" s="63">
        <f t="shared" si="11"/>
        <v>0</v>
      </c>
      <c r="E94" s="63">
        <f t="shared" si="11"/>
        <v>0</v>
      </c>
      <c r="F94" s="63">
        <f t="shared" si="11"/>
        <v>0</v>
      </c>
      <c r="G94" s="63">
        <f t="shared" si="11"/>
        <v>0</v>
      </c>
      <c r="H94" s="63">
        <f t="shared" si="11"/>
        <v>0</v>
      </c>
      <c r="I94" s="63">
        <f t="shared" si="11"/>
        <v>0</v>
      </c>
      <c r="J94" s="63">
        <f t="shared" si="11"/>
        <v>0</v>
      </c>
      <c r="K94" s="63">
        <f t="shared" si="11"/>
        <v>0</v>
      </c>
      <c r="L94" s="63">
        <f t="shared" si="11"/>
        <v>0</v>
      </c>
      <c r="M94" s="63">
        <f t="shared" si="11"/>
        <v>0</v>
      </c>
      <c r="N94" s="61">
        <f t="shared" si="10"/>
        <v>0</v>
      </c>
      <c r="O94" s="28" t="str">
        <f>IF((N94-Budget!B132)&lt;2,IF((N94-Budget!B132)&gt;-2,"Yes","No"),"No")</f>
        <v>Yes</v>
      </c>
    </row>
    <row r="95" spans="1:15" ht="18.5" x14ac:dyDescent="0.45">
      <c r="A95" s="73" t="s">
        <v>194</v>
      </c>
      <c r="B95" s="74">
        <f t="shared" ref="B95:M95" si="12">SUM(B94,B85,B54,B37)</f>
        <v>75</v>
      </c>
      <c r="C95" s="74">
        <f t="shared" si="12"/>
        <v>775</v>
      </c>
      <c r="D95" s="74">
        <f t="shared" si="12"/>
        <v>350</v>
      </c>
      <c r="E95" s="74">
        <f t="shared" si="12"/>
        <v>100</v>
      </c>
      <c r="F95" s="74">
        <f t="shared" si="12"/>
        <v>100</v>
      </c>
      <c r="G95" s="74">
        <f t="shared" si="12"/>
        <v>260</v>
      </c>
      <c r="H95" s="74">
        <f t="shared" si="12"/>
        <v>110</v>
      </c>
      <c r="I95" s="74">
        <f t="shared" si="12"/>
        <v>1060</v>
      </c>
      <c r="J95" s="74">
        <f t="shared" si="12"/>
        <v>160</v>
      </c>
      <c r="K95" s="74">
        <f t="shared" si="12"/>
        <v>1060</v>
      </c>
      <c r="L95" s="74">
        <f t="shared" si="12"/>
        <v>1275</v>
      </c>
      <c r="M95" s="74">
        <f t="shared" si="12"/>
        <v>1275</v>
      </c>
      <c r="N95" s="74">
        <f>ROUND(SUM(B95:M95),2)</f>
        <v>6600</v>
      </c>
      <c r="O95" s="28" t="str">
        <f>IF((N95-Budget!B133)&lt;2,IF((N95-Budget!B133)&gt;-2,"Yes","No"),"No")</f>
        <v>Yes</v>
      </c>
    </row>
    <row r="96" spans="1:15" ht="37" x14ac:dyDescent="0.45">
      <c r="A96" s="51" t="s">
        <v>121</v>
      </c>
      <c r="B96" s="77">
        <f>B16-B95</f>
        <v>9925</v>
      </c>
      <c r="C96" s="77">
        <f t="shared" ref="C96:M96" si="13">C16-C95</f>
        <v>-775</v>
      </c>
      <c r="D96" s="77">
        <f t="shared" si="13"/>
        <v>-350</v>
      </c>
      <c r="E96" s="77">
        <f t="shared" si="13"/>
        <v>-100</v>
      </c>
      <c r="F96" s="77">
        <f t="shared" si="13"/>
        <v>-100</v>
      </c>
      <c r="G96" s="77">
        <f t="shared" si="13"/>
        <v>-260</v>
      </c>
      <c r="H96" s="77">
        <f t="shared" si="13"/>
        <v>-110</v>
      </c>
      <c r="I96" s="77">
        <f t="shared" si="13"/>
        <v>-1060</v>
      </c>
      <c r="J96" s="77">
        <f t="shared" si="13"/>
        <v>-160</v>
      </c>
      <c r="K96" s="77">
        <f t="shared" si="13"/>
        <v>-1060</v>
      </c>
      <c r="L96" s="77">
        <f t="shared" si="13"/>
        <v>-1275</v>
      </c>
      <c r="M96" s="77">
        <f t="shared" si="13"/>
        <v>-1275</v>
      </c>
      <c r="N96" s="77">
        <f>SUM(B96:M96)</f>
        <v>3400</v>
      </c>
      <c r="O96" s="32"/>
    </row>
    <row r="97" spans="1:15" ht="42" x14ac:dyDescent="0.5">
      <c r="A97" s="76" t="s">
        <v>122</v>
      </c>
      <c r="B97" s="77">
        <f t="shared" ref="B97:M97" si="14">B96+B4</f>
        <v>9925</v>
      </c>
      <c r="C97" s="77">
        <f t="shared" si="14"/>
        <v>9150</v>
      </c>
      <c r="D97" s="77">
        <f t="shared" si="14"/>
        <v>8800</v>
      </c>
      <c r="E97" s="77">
        <f t="shared" si="14"/>
        <v>8700</v>
      </c>
      <c r="F97" s="77">
        <f t="shared" si="14"/>
        <v>8600</v>
      </c>
      <c r="G97" s="77">
        <f t="shared" si="14"/>
        <v>8340</v>
      </c>
      <c r="H97" s="77">
        <f t="shared" si="14"/>
        <v>8230</v>
      </c>
      <c r="I97" s="77">
        <f t="shared" si="14"/>
        <v>7170</v>
      </c>
      <c r="J97" s="77">
        <f t="shared" si="14"/>
        <v>7010</v>
      </c>
      <c r="K97" s="77">
        <f t="shared" si="14"/>
        <v>5950</v>
      </c>
      <c r="L97" s="77">
        <f t="shared" si="14"/>
        <v>4675</v>
      </c>
      <c r="M97" s="77">
        <f t="shared" si="14"/>
        <v>3400</v>
      </c>
      <c r="N97" s="75"/>
      <c r="O97" s="33"/>
    </row>
  </sheetData>
  <sheetProtection algorithmName="SHA-512" hashValue="e01viTLLE1CdqNeEjX000VBLnZ5B0YlmSEqyL8AZOScCTwUTLeNItm4yFLVbBZ7TAmwv8Ovxb2TnY8tkPYTtGw==" saltValue="mu0V/RpwSRXu18Xrcs2LPQ==" spinCount="100000" sheet="1" formatColumns="0" formatRows="0" selectLockedCells="1"/>
  <mergeCells count="2">
    <mergeCell ref="B1:O1"/>
    <mergeCell ref="O2:O3"/>
  </mergeCells>
  <conditionalFormatting sqref="O6:O16 O57:O84">
    <cfRule type="containsText" dxfId="68" priority="36" operator="containsText" text="No">
      <formula>NOT(ISERROR(SEARCH("No",O6)))</formula>
    </cfRule>
    <cfRule type="containsText" dxfId="67" priority="37" operator="containsText" text="No">
      <formula>NOT(ISERROR(SEARCH("No",O6)))</formula>
    </cfRule>
  </conditionalFormatting>
  <conditionalFormatting sqref="O19:O37">
    <cfRule type="containsText" dxfId="66" priority="33" operator="containsText" text="No">
      <formula>NOT(ISERROR(SEARCH("No",O19)))</formula>
    </cfRule>
    <cfRule type="containsText" dxfId="65" priority="34" operator="containsText" text="No">
      <formula>NOT(ISERROR(SEARCH("No",O19)))</formula>
    </cfRule>
  </conditionalFormatting>
  <conditionalFormatting sqref="O39">
    <cfRule type="containsText" dxfId="64" priority="31" operator="containsText" text="No">
      <formula>NOT(ISERROR(SEARCH("No",O39)))</formula>
    </cfRule>
    <cfRule type="containsText" dxfId="63" priority="32" operator="containsText" text="No">
      <formula>NOT(ISERROR(SEARCH("No",O39)))</formula>
    </cfRule>
  </conditionalFormatting>
  <conditionalFormatting sqref="O40:O54">
    <cfRule type="containsText" dxfId="62" priority="29" operator="containsText" text="No">
      <formula>NOT(ISERROR(SEARCH("No",O40)))</formula>
    </cfRule>
    <cfRule type="containsText" dxfId="61" priority="30" operator="containsText" text="No">
      <formula>NOT(ISERROR(SEARCH("No",O40)))</formula>
    </cfRule>
  </conditionalFormatting>
  <conditionalFormatting sqref="O56">
    <cfRule type="containsText" dxfId="60" priority="27" operator="containsText" text="No">
      <formula>NOT(ISERROR(SEARCH("No",O56)))</formula>
    </cfRule>
    <cfRule type="containsText" dxfId="59" priority="28" operator="containsText" text="No">
      <formula>NOT(ISERROR(SEARCH("No",O56)))</formula>
    </cfRule>
  </conditionalFormatting>
  <conditionalFormatting sqref="O85">
    <cfRule type="containsText" dxfId="58" priority="23" operator="containsText" text="No">
      <formula>NOT(ISERROR(SEARCH("No",O85)))</formula>
    </cfRule>
    <cfRule type="containsText" dxfId="57" priority="24" operator="containsText" text="No">
      <formula>NOT(ISERROR(SEARCH("No",O85)))</formula>
    </cfRule>
  </conditionalFormatting>
  <conditionalFormatting sqref="O87">
    <cfRule type="containsText" dxfId="56" priority="21" operator="containsText" text="No">
      <formula>NOT(ISERROR(SEARCH("No",O87)))</formula>
    </cfRule>
    <cfRule type="containsText" dxfId="55" priority="22" operator="containsText" text="No">
      <formula>NOT(ISERROR(SEARCH("No",O87)))</formula>
    </cfRule>
  </conditionalFormatting>
  <conditionalFormatting sqref="O88:O94">
    <cfRule type="containsText" dxfId="54" priority="19" operator="containsText" text="No">
      <formula>NOT(ISERROR(SEARCH("No",O88)))</formula>
    </cfRule>
    <cfRule type="containsText" dxfId="53" priority="20" operator="containsText" text="No">
      <formula>NOT(ISERROR(SEARCH("No",O88)))</formula>
    </cfRule>
  </conditionalFormatting>
  <conditionalFormatting sqref="O95">
    <cfRule type="containsText" dxfId="52" priority="17" operator="containsText" text="No">
      <formula>NOT(ISERROR(SEARCH("No",O95)))</formula>
    </cfRule>
    <cfRule type="containsText" dxfId="51" priority="18" operator="containsText" text="No">
      <formula>NOT(ISERROR(SEARCH("No",O95)))</formula>
    </cfRule>
  </conditionalFormatting>
  <conditionalFormatting sqref="B97:M97">
    <cfRule type="cellIs" dxfId="50" priority="1" operator="lessThan">
      <formula>0</formula>
    </cfRule>
    <cfRule type="cellIs" dxfId="49" priority="12" operator="lessThan">
      <formula>0</formula>
    </cfRule>
  </conditionalFormatting>
  <conditionalFormatting sqref="O96">
    <cfRule type="containsText" dxfId="48" priority="2" operator="containsText" text="No">
      <formula>NOT(ISERROR(SEARCH("No",O96)))</formula>
    </cfRule>
    <cfRule type="containsText" dxfId="47" priority="3" operator="containsText" text="No">
      <formula>NOT(ISERROR(SEARCH("No",O96)))</formula>
    </cfRule>
  </conditionalFormatting>
  <printOptions horizontalCentered="1"/>
  <pageMargins left="0" right="0" top="0.5" bottom="0.5" header="0" footer="0"/>
  <pageSetup scale="55" fitToHeight="1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99"/>
  <sheetViews>
    <sheetView zoomScale="80" zoomScaleNormal="80" workbookViewId="0">
      <pane xSplit="1" ySplit="2" topLeftCell="B3" activePane="bottomRight" state="frozen"/>
      <selection pane="topRight" activeCell="B1" sqref="B1"/>
      <selection pane="bottomLeft" activeCell="A3" sqref="A3"/>
      <selection pane="bottomRight" activeCell="B63" sqref="B63"/>
    </sheetView>
  </sheetViews>
  <sheetFormatPr defaultColWidth="8.81640625" defaultRowHeight="14.5" x14ac:dyDescent="0.35"/>
  <cols>
    <col min="1" max="1" width="38.81640625" customWidth="1"/>
    <col min="2" max="13" width="15.81640625" customWidth="1"/>
    <col min="14" max="14" width="16.81640625" customWidth="1"/>
    <col min="15" max="15" width="18.81640625" customWidth="1"/>
  </cols>
  <sheetData>
    <row r="1" spans="1:15" ht="21" x14ac:dyDescent="0.45">
      <c r="A1" s="109" t="str">
        <f>IF(ISBLANK(+Budget!A2),"",Budget!A2)</f>
        <v>100% Budget</v>
      </c>
      <c r="B1" s="218" t="s">
        <v>93</v>
      </c>
      <c r="C1" s="218"/>
      <c r="D1" s="218"/>
      <c r="E1" s="218"/>
      <c r="F1" s="218"/>
      <c r="G1" s="218"/>
      <c r="H1" s="218"/>
      <c r="I1" s="218"/>
      <c r="J1" s="218"/>
      <c r="K1" s="218"/>
      <c r="L1" s="218"/>
      <c r="M1" s="218"/>
      <c r="N1" s="218"/>
      <c r="O1" s="218"/>
    </row>
    <row r="2" spans="1:15" ht="33.7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Balances'!C5</f>
        <v>3400</v>
      </c>
      <c r="C4" s="85">
        <f>B99</f>
        <v>18258.233333333337</v>
      </c>
      <c r="D4" s="85">
        <f t="shared" ref="D4:M4" si="0">C99</f>
        <v>9623.6939393939392</v>
      </c>
      <c r="E4" s="85">
        <f t="shared" si="0"/>
        <v>4922.6545454545412</v>
      </c>
      <c r="F4" s="85">
        <f t="shared" si="0"/>
        <v>3579.1151515151432</v>
      </c>
      <c r="G4" s="85">
        <f t="shared" si="0"/>
        <v>3240.0757575757452</v>
      </c>
      <c r="H4" s="85">
        <f t="shared" si="0"/>
        <v>4560.5363636363472</v>
      </c>
      <c r="I4" s="85">
        <f t="shared" si="0"/>
        <v>2726.9969696969492</v>
      </c>
      <c r="J4" s="85">
        <f t="shared" si="0"/>
        <v>1109.9575757575512</v>
      </c>
      <c r="K4" s="85">
        <f t="shared" si="0"/>
        <v>1678.9181818181532</v>
      </c>
      <c r="L4" s="85">
        <f t="shared" si="0"/>
        <v>1478.3787878787552</v>
      </c>
      <c r="M4" s="85">
        <f t="shared" si="0"/>
        <v>157.83939393935725</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Budget!$C$43/12</f>
        <v>92630.75</v>
      </c>
      <c r="C6" s="30">
        <f>Budget!$C$43/12</f>
        <v>92630.75</v>
      </c>
      <c r="D6" s="30">
        <f>Budget!$C$43/12</f>
        <v>92630.75</v>
      </c>
      <c r="E6" s="30">
        <f>Budget!$C$43/12</f>
        <v>92630.75</v>
      </c>
      <c r="F6" s="30">
        <f>Budget!$C$43/12</f>
        <v>92630.75</v>
      </c>
      <c r="G6" s="30">
        <f>Budget!$C$43/12</f>
        <v>92630.75</v>
      </c>
      <c r="H6" s="30">
        <f>Budget!$C$43/12</f>
        <v>92630.75</v>
      </c>
      <c r="I6" s="30">
        <f>Budget!$C$43/12</f>
        <v>92630.75</v>
      </c>
      <c r="J6" s="30">
        <f>Budget!$C$43/12</f>
        <v>92630.75</v>
      </c>
      <c r="K6" s="30">
        <f>Budget!$C$43/12</f>
        <v>92630.75</v>
      </c>
      <c r="L6" s="30">
        <f>Budget!$C$43/12</f>
        <v>92630.75</v>
      </c>
      <c r="M6" s="30">
        <f>Budget!$C$43/12</f>
        <v>92630.75</v>
      </c>
      <c r="N6" s="59">
        <f>ROUND(SUM(B6:M6),0)</f>
        <v>1111569</v>
      </c>
      <c r="O6" s="29" t="str">
        <f>IF((N6-Budget!C43)&lt;2,IF((N6-Budget!C43)&gt;-2,"Yes","No"),"No")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IF((N7-Budget!C45)&lt;2,IF((N7-Budget!C45)&gt;-2,"Yes","No"),"No")</f>
        <v>Yes</v>
      </c>
    </row>
    <row r="8" spans="1:15" x14ac:dyDescent="0.35">
      <c r="A8" s="68">
        <f>Budget!A46</f>
        <v>0</v>
      </c>
      <c r="B8" s="81"/>
      <c r="C8" s="81"/>
      <c r="D8" s="81"/>
      <c r="E8" s="81"/>
      <c r="F8" s="81"/>
      <c r="G8" s="81"/>
      <c r="H8" s="81"/>
      <c r="I8" s="81"/>
      <c r="J8" s="81"/>
      <c r="K8" s="81"/>
      <c r="L8" s="81"/>
      <c r="M8" s="81"/>
      <c r="N8" s="59">
        <f t="shared" si="1"/>
        <v>0</v>
      </c>
      <c r="O8" s="29" t="str">
        <f>IF((N8-Budget!C46)&lt;2,IF((N8-Budget!C46)&gt;-2,"Yes","No"),"No")</f>
        <v>Yes</v>
      </c>
    </row>
    <row r="9" spans="1:15" x14ac:dyDescent="0.35">
      <c r="A9" s="60" t="str">
        <f>Budget!A47</f>
        <v>Donations</v>
      </c>
      <c r="B9" s="80"/>
      <c r="C9" s="80"/>
      <c r="D9" s="80"/>
      <c r="E9" s="80"/>
      <c r="F9" s="80"/>
      <c r="G9" s="80"/>
      <c r="H9" s="80"/>
      <c r="I9" s="80"/>
      <c r="J9" s="80"/>
      <c r="K9" s="80"/>
      <c r="L9" s="80"/>
      <c r="M9" s="80"/>
      <c r="N9" s="61">
        <f t="shared" si="1"/>
        <v>0</v>
      </c>
      <c r="O9" s="28" t="str">
        <f>IF((N9-Budget!C47)&lt;2,IF((N9-Budget!C47)&gt;-2,"Yes","No"),"No")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IF((N10-Budget!C48)&lt;2,IF((N10-Budget!C48)&gt;-2,"Yes","No"),"No")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IF((N11-Budget!C49)&lt;2,IF((N11-Budget!C49)&gt;-2,"Yes","No"),"No")</f>
        <v>Yes</v>
      </c>
    </row>
    <row r="12" spans="1:15" x14ac:dyDescent="0.35">
      <c r="A12" s="68" t="str">
        <f>Budget!A50</f>
        <v>Grants</v>
      </c>
      <c r="B12" s="81"/>
      <c r="C12" s="81"/>
      <c r="D12" s="81"/>
      <c r="E12" s="81"/>
      <c r="F12" s="81"/>
      <c r="G12" s="81"/>
      <c r="H12" s="81"/>
      <c r="I12" s="81"/>
      <c r="J12" s="81"/>
      <c r="K12" s="81"/>
      <c r="L12" s="81"/>
      <c r="M12" s="81"/>
      <c r="N12" s="59">
        <f t="shared" si="1"/>
        <v>0</v>
      </c>
      <c r="O12" s="29" t="str">
        <f>IF((N12-Budget!C50)&lt;2,IF((N12-Budget!C50)&gt;-2,"Yes","No"),"No")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IF((N13-Budget!C51)&lt;2,IF((N13-Budget!C51)&gt;-2,"Yes","No"),"No")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IF((N14-Budget!C52)&lt;2,IF((N14-Budget!C52)&gt;-2,"Yes","No"),"No")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IF((N15-Budget!C53)&lt;2,IF((N15-Budget!C53)&gt;-2,"Yes","No"),"No")</f>
        <v>Yes</v>
      </c>
    </row>
    <row r="16" spans="1:15" ht="18.5" x14ac:dyDescent="0.45">
      <c r="A16" s="62" t="s">
        <v>195</v>
      </c>
      <c r="B16" s="74">
        <f t="shared" ref="B16:M16" si="2">SUM(B6:B15)</f>
        <v>92630.75</v>
      </c>
      <c r="C16" s="74">
        <f t="shared" si="2"/>
        <v>92630.75</v>
      </c>
      <c r="D16" s="74">
        <f t="shared" si="2"/>
        <v>92630.75</v>
      </c>
      <c r="E16" s="74">
        <f t="shared" si="2"/>
        <v>92630.75</v>
      </c>
      <c r="F16" s="74">
        <f t="shared" si="2"/>
        <v>92630.75</v>
      </c>
      <c r="G16" s="74">
        <f t="shared" si="2"/>
        <v>92630.75</v>
      </c>
      <c r="H16" s="74">
        <f t="shared" si="2"/>
        <v>92630.75</v>
      </c>
      <c r="I16" s="74">
        <f t="shared" si="2"/>
        <v>92630.75</v>
      </c>
      <c r="J16" s="74">
        <f t="shared" si="2"/>
        <v>92630.75</v>
      </c>
      <c r="K16" s="74">
        <f t="shared" si="2"/>
        <v>92630.75</v>
      </c>
      <c r="L16" s="74">
        <f t="shared" si="2"/>
        <v>92630.75</v>
      </c>
      <c r="M16" s="74">
        <f t="shared" si="2"/>
        <v>92630.75</v>
      </c>
      <c r="N16" s="74">
        <f>ROUND(SUM(B16:M16),2)</f>
        <v>1111569</v>
      </c>
      <c r="O16" s="28" t="str">
        <f>IF((N16-Budget!C54)&lt;2,IF((N16-Budget!C54)&gt;-2,"Yes","No"),"No")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10" t="str">
        <f>Budget!A56</f>
        <v>Personnel</v>
      </c>
      <c r="B18" s="111"/>
      <c r="C18" s="111"/>
      <c r="D18" s="111"/>
      <c r="E18" s="111"/>
      <c r="F18" s="111"/>
      <c r="G18" s="111"/>
      <c r="H18" s="111"/>
      <c r="I18" s="111"/>
      <c r="J18" s="111"/>
      <c r="K18" s="111"/>
      <c r="L18" s="111"/>
      <c r="M18" s="111"/>
      <c r="N18" s="111"/>
      <c r="O18" s="112"/>
    </row>
    <row r="19" spans="1:15" x14ac:dyDescent="0.35">
      <c r="A19" s="67" t="str">
        <f>Budget!A57</f>
        <v>Principal</v>
      </c>
      <c r="B19" s="82">
        <f>Budget!C57/12</f>
        <v>7250</v>
      </c>
      <c r="C19" s="82">
        <f t="shared" ref="C19:C35" si="3">B19</f>
        <v>7250</v>
      </c>
      <c r="D19" s="82">
        <f t="shared" ref="D19:L19" si="4">C19</f>
        <v>7250</v>
      </c>
      <c r="E19" s="82">
        <f t="shared" si="4"/>
        <v>7250</v>
      </c>
      <c r="F19" s="82">
        <f t="shared" si="4"/>
        <v>7250</v>
      </c>
      <c r="G19" s="82">
        <f t="shared" si="4"/>
        <v>7250</v>
      </c>
      <c r="H19" s="82">
        <f t="shared" si="4"/>
        <v>7250</v>
      </c>
      <c r="I19" s="82">
        <f t="shared" si="4"/>
        <v>7250</v>
      </c>
      <c r="J19" s="82">
        <f t="shared" si="4"/>
        <v>7250</v>
      </c>
      <c r="K19" s="82">
        <f t="shared" si="4"/>
        <v>7250</v>
      </c>
      <c r="L19" s="82">
        <f t="shared" si="4"/>
        <v>7250</v>
      </c>
      <c r="M19" s="82">
        <f>L19</f>
        <v>7250</v>
      </c>
      <c r="N19" s="61">
        <f t="shared" ref="N19:N53" si="5">ROUND(SUM(B19:M19),0)</f>
        <v>87000</v>
      </c>
      <c r="O19" s="28" t="str">
        <f>IF((N19-Budget!C57)&lt;2,IF((N19-Budget!C57)&gt;-2,"Yes","No"),"No")</f>
        <v>Yes</v>
      </c>
    </row>
    <row r="20" spans="1:15" ht="29" x14ac:dyDescent="0.35">
      <c r="A20" s="68" t="str">
        <f>Budget!A58</f>
        <v>Other Administrators (Asst. Principal, Curriculum Director…)</v>
      </c>
      <c r="B20" s="81">
        <f>Budget!C58/12</f>
        <v>2916.6666666666665</v>
      </c>
      <c r="C20" s="81">
        <f t="shared" si="3"/>
        <v>2916.6666666666665</v>
      </c>
      <c r="D20" s="81">
        <f t="shared" ref="D20:M20" si="6">C20</f>
        <v>2916.6666666666665</v>
      </c>
      <c r="E20" s="81">
        <f t="shared" si="6"/>
        <v>2916.6666666666665</v>
      </c>
      <c r="F20" s="81">
        <f t="shared" si="6"/>
        <v>2916.6666666666665</v>
      </c>
      <c r="G20" s="81">
        <f t="shared" si="6"/>
        <v>2916.6666666666665</v>
      </c>
      <c r="H20" s="81">
        <f t="shared" si="6"/>
        <v>2916.6666666666665</v>
      </c>
      <c r="I20" s="81">
        <f t="shared" si="6"/>
        <v>2916.6666666666665</v>
      </c>
      <c r="J20" s="81">
        <f t="shared" si="6"/>
        <v>2916.6666666666665</v>
      </c>
      <c r="K20" s="81">
        <f t="shared" si="6"/>
        <v>2916.6666666666665</v>
      </c>
      <c r="L20" s="81">
        <f t="shared" si="6"/>
        <v>2916.6666666666665</v>
      </c>
      <c r="M20" s="81">
        <f t="shared" si="6"/>
        <v>2916.6666666666665</v>
      </c>
      <c r="N20" s="59">
        <f t="shared" si="5"/>
        <v>35000</v>
      </c>
      <c r="O20" s="29" t="str">
        <f>IF((N20-Budget!C58)&lt;2,IF((N20-Budget!C58)&gt;-2,"Yes","No"),"No")</f>
        <v>Yes</v>
      </c>
    </row>
    <row r="21" spans="1:15" x14ac:dyDescent="0.35">
      <c r="A21" s="67" t="str">
        <f>Budget!A59</f>
        <v>Teachers</v>
      </c>
      <c r="B21" s="82">
        <f>Budget!C59/12</f>
        <v>18333.333333333332</v>
      </c>
      <c r="C21" s="82">
        <f t="shared" si="3"/>
        <v>18333.333333333332</v>
      </c>
      <c r="D21" s="82">
        <f t="shared" ref="D21:M21" si="7">C21</f>
        <v>18333.333333333332</v>
      </c>
      <c r="E21" s="82">
        <f t="shared" si="7"/>
        <v>18333.333333333332</v>
      </c>
      <c r="F21" s="82">
        <f t="shared" si="7"/>
        <v>18333.333333333332</v>
      </c>
      <c r="G21" s="82">
        <f t="shared" si="7"/>
        <v>18333.333333333332</v>
      </c>
      <c r="H21" s="82">
        <f t="shared" si="7"/>
        <v>18333.333333333332</v>
      </c>
      <c r="I21" s="82">
        <f t="shared" si="7"/>
        <v>18333.333333333332</v>
      </c>
      <c r="J21" s="82">
        <f t="shared" si="7"/>
        <v>18333.333333333332</v>
      </c>
      <c r="K21" s="82">
        <f t="shared" si="7"/>
        <v>18333.333333333332</v>
      </c>
      <c r="L21" s="82">
        <f t="shared" si="7"/>
        <v>18333.333333333332</v>
      </c>
      <c r="M21" s="82">
        <f t="shared" si="7"/>
        <v>18333.333333333332</v>
      </c>
      <c r="N21" s="61">
        <f t="shared" si="5"/>
        <v>220000</v>
      </c>
      <c r="O21" s="28" t="str">
        <f>IF((N21-Budget!C59)&lt;2,IF((N21-Budget!C59)&gt;-2,"Yes","No"),"No")</f>
        <v>Yes</v>
      </c>
    </row>
    <row r="22" spans="1:15" x14ac:dyDescent="0.35">
      <c r="A22" s="68" t="str">
        <f>Budget!A60</f>
        <v>Arts/PE/Connections Teachers</v>
      </c>
      <c r="B22" s="81">
        <f>Budget!C60/12</f>
        <v>3916.6666666666665</v>
      </c>
      <c r="C22" s="81">
        <f t="shared" si="3"/>
        <v>3916.6666666666665</v>
      </c>
      <c r="D22" s="81">
        <f t="shared" ref="D22:M22" si="8">C22</f>
        <v>3916.6666666666665</v>
      </c>
      <c r="E22" s="81">
        <f t="shared" si="8"/>
        <v>3916.6666666666665</v>
      </c>
      <c r="F22" s="81">
        <f t="shared" si="8"/>
        <v>3916.6666666666665</v>
      </c>
      <c r="G22" s="81">
        <f t="shared" si="8"/>
        <v>3916.6666666666665</v>
      </c>
      <c r="H22" s="81">
        <f t="shared" si="8"/>
        <v>3916.6666666666665</v>
      </c>
      <c r="I22" s="81">
        <f t="shared" si="8"/>
        <v>3916.6666666666665</v>
      </c>
      <c r="J22" s="81">
        <f t="shared" si="8"/>
        <v>3916.6666666666665</v>
      </c>
      <c r="K22" s="81">
        <f t="shared" si="8"/>
        <v>3916.6666666666665</v>
      </c>
      <c r="L22" s="81">
        <f t="shared" si="8"/>
        <v>3916.6666666666665</v>
      </c>
      <c r="M22" s="81">
        <f t="shared" si="8"/>
        <v>3916.6666666666665</v>
      </c>
      <c r="N22" s="59">
        <f t="shared" si="5"/>
        <v>47000</v>
      </c>
      <c r="O22" s="29" t="str">
        <f>IF((N22-Budget!C60)&lt;2,IF((N22-Budget!C60)&gt;-2,"Yes","No"),"No")</f>
        <v>Yes</v>
      </c>
    </row>
    <row r="23" spans="1:15" x14ac:dyDescent="0.35">
      <c r="A23" s="67" t="str">
        <f>Budget!A61</f>
        <v>Athletics/Extracurricular Coaches</v>
      </c>
      <c r="B23" s="82">
        <f>Budget!C61/12</f>
        <v>0</v>
      </c>
      <c r="C23" s="82">
        <f t="shared" si="3"/>
        <v>0</v>
      </c>
      <c r="D23" s="82">
        <f t="shared" ref="D23:M35" si="9">C23</f>
        <v>0</v>
      </c>
      <c r="E23" s="82">
        <f t="shared" si="9"/>
        <v>0</v>
      </c>
      <c r="F23" s="82">
        <f t="shared" si="9"/>
        <v>0</v>
      </c>
      <c r="G23" s="82">
        <f t="shared" si="9"/>
        <v>0</v>
      </c>
      <c r="H23" s="82">
        <f t="shared" si="9"/>
        <v>0</v>
      </c>
      <c r="I23" s="82">
        <f t="shared" si="9"/>
        <v>0</v>
      </c>
      <c r="J23" s="82">
        <f t="shared" si="9"/>
        <v>0</v>
      </c>
      <c r="K23" s="82">
        <f t="shared" si="9"/>
        <v>0</v>
      </c>
      <c r="L23" s="82">
        <f t="shared" si="9"/>
        <v>0</v>
      </c>
      <c r="M23" s="82">
        <f t="shared" si="9"/>
        <v>0</v>
      </c>
      <c r="N23" s="61">
        <f t="shared" si="5"/>
        <v>0</v>
      </c>
      <c r="O23" s="28" t="str">
        <f>IF((N23-Budget!C61)&lt;2,IF((N23-Budget!C61)&gt;-2,"Yes","No"),"No")</f>
        <v>Yes</v>
      </c>
    </row>
    <row r="24" spans="1:15" x14ac:dyDescent="0.35">
      <c r="A24" s="68" t="str">
        <f>Budget!A62</f>
        <v>Guidance Counselors</v>
      </c>
      <c r="B24" s="81">
        <f>Budget!C62/12</f>
        <v>0</v>
      </c>
      <c r="C24" s="81">
        <f t="shared" si="3"/>
        <v>0</v>
      </c>
      <c r="D24" s="81">
        <f t="shared" si="9"/>
        <v>0</v>
      </c>
      <c r="E24" s="81">
        <f t="shared" si="9"/>
        <v>0</v>
      </c>
      <c r="F24" s="81">
        <f t="shared" si="9"/>
        <v>0</v>
      </c>
      <c r="G24" s="81">
        <f t="shared" si="9"/>
        <v>0</v>
      </c>
      <c r="H24" s="81">
        <f t="shared" si="9"/>
        <v>0</v>
      </c>
      <c r="I24" s="81">
        <f t="shared" si="9"/>
        <v>0</v>
      </c>
      <c r="J24" s="81">
        <f t="shared" si="9"/>
        <v>0</v>
      </c>
      <c r="K24" s="81">
        <f t="shared" si="9"/>
        <v>0</v>
      </c>
      <c r="L24" s="81">
        <f t="shared" si="9"/>
        <v>0</v>
      </c>
      <c r="M24" s="81">
        <f t="shared" si="9"/>
        <v>0</v>
      </c>
      <c r="N24" s="59">
        <f t="shared" si="5"/>
        <v>0</v>
      </c>
      <c r="O24" s="29" t="str">
        <f>IF((N24-Budget!C62)&lt;2,IF((N24-Budget!C62)&gt;-2,"Yes","No"),"No")</f>
        <v>Yes</v>
      </c>
    </row>
    <row r="25" spans="1:15" x14ac:dyDescent="0.35">
      <c r="A25" s="67" t="str">
        <f>Budget!A63</f>
        <v xml:space="preserve">Special Education Personnel </v>
      </c>
      <c r="B25" s="82">
        <f>Budget!C63/12</f>
        <v>4666.666666666667</v>
      </c>
      <c r="C25" s="82">
        <f t="shared" si="3"/>
        <v>4666.666666666667</v>
      </c>
      <c r="D25" s="82">
        <f t="shared" si="9"/>
        <v>4666.666666666667</v>
      </c>
      <c r="E25" s="82">
        <f t="shared" si="9"/>
        <v>4666.666666666667</v>
      </c>
      <c r="F25" s="82">
        <f t="shared" si="9"/>
        <v>4666.666666666667</v>
      </c>
      <c r="G25" s="82">
        <f t="shared" si="9"/>
        <v>4666.666666666667</v>
      </c>
      <c r="H25" s="82">
        <f t="shared" si="9"/>
        <v>4666.666666666667</v>
      </c>
      <c r="I25" s="82">
        <f t="shared" si="9"/>
        <v>4666.666666666667</v>
      </c>
      <c r="J25" s="82">
        <f t="shared" si="9"/>
        <v>4666.666666666667</v>
      </c>
      <c r="K25" s="82">
        <f t="shared" si="9"/>
        <v>4666.666666666667</v>
      </c>
      <c r="L25" s="82">
        <f t="shared" si="9"/>
        <v>4666.666666666667</v>
      </c>
      <c r="M25" s="19">
        <f t="shared" si="9"/>
        <v>4666.666666666667</v>
      </c>
      <c r="N25" s="61">
        <f t="shared" si="5"/>
        <v>56000</v>
      </c>
      <c r="O25" s="28" t="str">
        <f>IF((N25-Budget!C63)&lt;2,IF((N25-Budget!C63)&gt;-2,"Yes","No"),"No")</f>
        <v>Yes</v>
      </c>
    </row>
    <row r="26" spans="1:15" x14ac:dyDescent="0.35">
      <c r="A26" s="68" t="str">
        <f>Budget!A64</f>
        <v>Office Manager</v>
      </c>
      <c r="B26" s="81">
        <f>Budget!C64/12</f>
        <v>1833.3333333333333</v>
      </c>
      <c r="C26" s="81">
        <f t="shared" si="3"/>
        <v>1833.3333333333333</v>
      </c>
      <c r="D26" s="81">
        <f t="shared" si="9"/>
        <v>1833.3333333333333</v>
      </c>
      <c r="E26" s="81">
        <f t="shared" si="9"/>
        <v>1833.3333333333333</v>
      </c>
      <c r="F26" s="81">
        <f t="shared" si="9"/>
        <v>1833.3333333333333</v>
      </c>
      <c r="G26" s="81">
        <f t="shared" si="9"/>
        <v>1833.3333333333333</v>
      </c>
      <c r="H26" s="81">
        <f t="shared" si="9"/>
        <v>1833.3333333333333</v>
      </c>
      <c r="I26" s="81">
        <f t="shared" si="9"/>
        <v>1833.3333333333333</v>
      </c>
      <c r="J26" s="81">
        <f t="shared" si="9"/>
        <v>1833.3333333333333</v>
      </c>
      <c r="K26" s="81">
        <f t="shared" si="9"/>
        <v>1833.3333333333333</v>
      </c>
      <c r="L26" s="81">
        <f t="shared" si="9"/>
        <v>1833.3333333333333</v>
      </c>
      <c r="M26" s="81">
        <f t="shared" si="9"/>
        <v>1833.3333333333333</v>
      </c>
      <c r="N26" s="59">
        <f t="shared" si="5"/>
        <v>22000</v>
      </c>
      <c r="O26" s="29" t="str">
        <f>IF((N26-Budget!C64)&lt;2,IF((N26-Budget!C64)&gt;-2,"Yes","No"),"No")</f>
        <v>Yes</v>
      </c>
    </row>
    <row r="27" spans="1:15" x14ac:dyDescent="0.35">
      <c r="A27" s="67" t="str">
        <f>Budget!A65</f>
        <v>Office Assistant</v>
      </c>
      <c r="B27" s="82">
        <v>0</v>
      </c>
      <c r="C27" s="82">
        <f>Budget!C65/11</f>
        <v>1963.6363636363637</v>
      </c>
      <c r="D27" s="82">
        <f t="shared" si="9"/>
        <v>1963.6363636363637</v>
      </c>
      <c r="E27" s="82">
        <f t="shared" si="9"/>
        <v>1963.6363636363637</v>
      </c>
      <c r="F27" s="82">
        <f t="shared" si="9"/>
        <v>1963.6363636363637</v>
      </c>
      <c r="G27" s="82">
        <f t="shared" si="9"/>
        <v>1963.6363636363637</v>
      </c>
      <c r="H27" s="82">
        <f t="shared" si="9"/>
        <v>1963.6363636363637</v>
      </c>
      <c r="I27" s="82">
        <f t="shared" si="9"/>
        <v>1963.6363636363637</v>
      </c>
      <c r="J27" s="82">
        <f t="shared" si="9"/>
        <v>1963.6363636363637</v>
      </c>
      <c r="K27" s="82">
        <f t="shared" si="9"/>
        <v>1963.6363636363637</v>
      </c>
      <c r="L27" s="82">
        <f t="shared" si="9"/>
        <v>1963.6363636363637</v>
      </c>
      <c r="M27" s="19">
        <f t="shared" si="9"/>
        <v>1963.6363636363637</v>
      </c>
      <c r="N27" s="61">
        <f t="shared" si="5"/>
        <v>21600</v>
      </c>
      <c r="O27" s="28" t="str">
        <f>IF((N27-Budget!C65)&lt;2,IF((N27-Budget!C65)&gt;-2,"Yes","No"),"No")</f>
        <v>Yes</v>
      </c>
    </row>
    <row r="28" spans="1:15" x14ac:dyDescent="0.35">
      <c r="A28" s="68" t="str">
        <f>Budget!A66</f>
        <v>Business Manager</v>
      </c>
      <c r="B28" s="81">
        <v>0</v>
      </c>
      <c r="C28" s="81">
        <f>Budget!C66/11</f>
        <v>3454.5454545454545</v>
      </c>
      <c r="D28" s="81">
        <f t="shared" si="9"/>
        <v>3454.5454545454545</v>
      </c>
      <c r="E28" s="81">
        <f t="shared" si="9"/>
        <v>3454.5454545454545</v>
      </c>
      <c r="F28" s="81">
        <f t="shared" si="9"/>
        <v>3454.5454545454545</v>
      </c>
      <c r="G28" s="81">
        <f t="shared" si="9"/>
        <v>3454.5454545454545</v>
      </c>
      <c r="H28" s="81">
        <f t="shared" si="9"/>
        <v>3454.5454545454545</v>
      </c>
      <c r="I28" s="81">
        <f t="shared" si="9"/>
        <v>3454.5454545454545</v>
      </c>
      <c r="J28" s="81">
        <f t="shared" si="9"/>
        <v>3454.5454545454545</v>
      </c>
      <c r="K28" s="81">
        <f t="shared" si="9"/>
        <v>3454.5454545454545</v>
      </c>
      <c r="L28" s="81">
        <f t="shared" si="9"/>
        <v>3454.5454545454545</v>
      </c>
      <c r="M28" s="81">
        <f t="shared" si="9"/>
        <v>3454.5454545454545</v>
      </c>
      <c r="N28" s="59">
        <f t="shared" si="5"/>
        <v>38000</v>
      </c>
      <c r="O28" s="29" t="str">
        <f>IF((N28-Budget!C66)&lt;2,IF((N28-Budget!C66)&gt;-2,"Yes","No"),"No")</f>
        <v>Yes</v>
      </c>
    </row>
    <row r="29" spans="1:15" x14ac:dyDescent="0.35">
      <c r="A29" s="67" t="str">
        <f>Budget!A67</f>
        <v>Maintenance Personnel</v>
      </c>
      <c r="B29" s="82">
        <f>Budget!C67/12</f>
        <v>0</v>
      </c>
      <c r="C29" s="82">
        <f t="shared" si="3"/>
        <v>0</v>
      </c>
      <c r="D29" s="82">
        <f t="shared" si="9"/>
        <v>0</v>
      </c>
      <c r="E29" s="82">
        <f t="shared" si="9"/>
        <v>0</v>
      </c>
      <c r="F29" s="82">
        <f t="shared" si="9"/>
        <v>0</v>
      </c>
      <c r="G29" s="82">
        <f t="shared" si="9"/>
        <v>0</v>
      </c>
      <c r="H29" s="82">
        <f t="shared" si="9"/>
        <v>0</v>
      </c>
      <c r="I29" s="82">
        <f t="shared" si="9"/>
        <v>0</v>
      </c>
      <c r="J29" s="82">
        <f t="shared" si="9"/>
        <v>0</v>
      </c>
      <c r="K29" s="82">
        <f t="shared" si="9"/>
        <v>0</v>
      </c>
      <c r="L29" s="82">
        <f t="shared" si="9"/>
        <v>0</v>
      </c>
      <c r="M29" s="19">
        <f t="shared" si="9"/>
        <v>0</v>
      </c>
      <c r="N29" s="61">
        <f t="shared" si="5"/>
        <v>0</v>
      </c>
      <c r="O29" s="28" t="str">
        <f>IF((N29-Budget!C67)&lt;2,IF((N29-Budget!C67)&gt;-2,"Yes","No"),"No")</f>
        <v>Yes</v>
      </c>
    </row>
    <row r="30" spans="1:15" x14ac:dyDescent="0.35">
      <c r="A30" s="68" t="str">
        <f>Budget!A68</f>
        <v>Food Service Personnel</v>
      </c>
      <c r="B30" s="81">
        <v>0</v>
      </c>
      <c r="C30" s="81">
        <f>Budget!C68/11</f>
        <v>90.909090909090907</v>
      </c>
      <c r="D30" s="81">
        <f>C30</f>
        <v>90.909090909090907</v>
      </c>
      <c r="E30" s="81">
        <f t="shared" si="9"/>
        <v>90.909090909090907</v>
      </c>
      <c r="F30" s="81">
        <f t="shared" si="9"/>
        <v>90.909090909090907</v>
      </c>
      <c r="G30" s="81">
        <f t="shared" si="9"/>
        <v>90.909090909090907</v>
      </c>
      <c r="H30" s="81">
        <f t="shared" si="9"/>
        <v>90.909090909090907</v>
      </c>
      <c r="I30" s="81">
        <f t="shared" si="9"/>
        <v>90.909090909090907</v>
      </c>
      <c r="J30" s="81">
        <f t="shared" si="9"/>
        <v>90.909090909090907</v>
      </c>
      <c r="K30" s="81">
        <f t="shared" si="9"/>
        <v>90.909090909090907</v>
      </c>
      <c r="L30" s="81">
        <f t="shared" si="9"/>
        <v>90.909090909090907</v>
      </c>
      <c r="M30" s="81">
        <f t="shared" si="9"/>
        <v>90.909090909090907</v>
      </c>
      <c r="N30" s="59">
        <f t="shared" si="5"/>
        <v>1000</v>
      </c>
      <c r="O30" s="29" t="str">
        <f>IF((N30-Budget!C68)&lt;2,IF((N30-Budget!C68)&gt;-2,"Yes","No"),"No")</f>
        <v>Yes</v>
      </c>
    </row>
    <row r="31" spans="1:15" ht="43.5" x14ac:dyDescent="0.35">
      <c r="A31" s="67" t="str">
        <f>Budget!A69</f>
        <v>Retirement Benefits - Membership in TRS is required for teachers.  (FY23 rate=19.98%, recent yrs have been in this range)</v>
      </c>
      <c r="B31" s="82">
        <f>Budget!C69/12</f>
        <v>5377.95</v>
      </c>
      <c r="C31" s="82">
        <f>B31</f>
        <v>5377.95</v>
      </c>
      <c r="D31" s="82">
        <f>C31</f>
        <v>5377.95</v>
      </c>
      <c r="E31" s="82">
        <f t="shared" si="9"/>
        <v>5377.95</v>
      </c>
      <c r="F31" s="82">
        <f t="shared" si="9"/>
        <v>5377.95</v>
      </c>
      <c r="G31" s="82">
        <f t="shared" si="9"/>
        <v>5377.95</v>
      </c>
      <c r="H31" s="82">
        <f t="shared" si="9"/>
        <v>5377.95</v>
      </c>
      <c r="I31" s="82">
        <f t="shared" si="9"/>
        <v>5377.95</v>
      </c>
      <c r="J31" s="82">
        <f t="shared" si="9"/>
        <v>5377.95</v>
      </c>
      <c r="K31" s="82">
        <f t="shared" si="9"/>
        <v>5377.95</v>
      </c>
      <c r="L31" s="82">
        <f t="shared" si="9"/>
        <v>5377.95</v>
      </c>
      <c r="M31" s="82">
        <f t="shared" si="9"/>
        <v>5377.95</v>
      </c>
      <c r="N31" s="61">
        <f t="shared" si="5"/>
        <v>64535</v>
      </c>
      <c r="O31" s="28" t="str">
        <f>IF((N31-Budget!C69)&lt;2,IF((N31-Budget!C69)&gt;-2,"Yes","No"),"No")</f>
        <v>Yes</v>
      </c>
    </row>
    <row r="32" spans="1:15" x14ac:dyDescent="0.35">
      <c r="A32" s="68" t="str">
        <f>Budget!A70</f>
        <v>Health Benefits</v>
      </c>
      <c r="B32" s="83">
        <f>Budget!C70/12</f>
        <v>4125</v>
      </c>
      <c r="C32" s="83">
        <f t="shared" si="3"/>
        <v>4125</v>
      </c>
      <c r="D32" s="83">
        <f t="shared" si="9"/>
        <v>4125</v>
      </c>
      <c r="E32" s="83">
        <f t="shared" si="9"/>
        <v>4125</v>
      </c>
      <c r="F32" s="83">
        <f t="shared" si="9"/>
        <v>4125</v>
      </c>
      <c r="G32" s="83">
        <f t="shared" si="9"/>
        <v>4125</v>
      </c>
      <c r="H32" s="83">
        <f t="shared" si="9"/>
        <v>4125</v>
      </c>
      <c r="I32" s="83">
        <f t="shared" si="9"/>
        <v>4125</v>
      </c>
      <c r="J32" s="83">
        <f t="shared" si="9"/>
        <v>4125</v>
      </c>
      <c r="K32" s="83">
        <f t="shared" si="9"/>
        <v>4125</v>
      </c>
      <c r="L32" s="83">
        <f t="shared" si="9"/>
        <v>4125</v>
      </c>
      <c r="M32" s="83">
        <f t="shared" si="9"/>
        <v>4125</v>
      </c>
      <c r="N32" s="59">
        <f t="shared" si="5"/>
        <v>49500</v>
      </c>
      <c r="O32" s="29" t="str">
        <f>IF((N32-Budget!C70)&lt;2,IF((N32-Budget!C70)&gt;-2,"Yes","No"),"No")</f>
        <v>Yes</v>
      </c>
    </row>
    <row r="33" spans="1:15" x14ac:dyDescent="0.35">
      <c r="A33" s="67" t="str">
        <f>Budget!A71</f>
        <v>FICA (OASDI 6.2%, HI 1.45%)</v>
      </c>
      <c r="B33" s="82">
        <f>Budget!C71/12</f>
        <v>3357.0750000000003</v>
      </c>
      <c r="C33" s="82">
        <f t="shared" si="3"/>
        <v>3357.0750000000003</v>
      </c>
      <c r="D33" s="82">
        <f t="shared" si="9"/>
        <v>3357.0750000000003</v>
      </c>
      <c r="E33" s="82">
        <f t="shared" si="9"/>
        <v>3357.0750000000003</v>
      </c>
      <c r="F33" s="82">
        <f t="shared" si="9"/>
        <v>3357.0750000000003</v>
      </c>
      <c r="G33" s="82">
        <f t="shared" si="9"/>
        <v>3357.0750000000003</v>
      </c>
      <c r="H33" s="82">
        <f t="shared" si="9"/>
        <v>3357.0750000000003</v>
      </c>
      <c r="I33" s="82">
        <f t="shared" si="9"/>
        <v>3357.0750000000003</v>
      </c>
      <c r="J33" s="82">
        <f t="shared" si="9"/>
        <v>3357.0750000000003</v>
      </c>
      <c r="K33" s="82">
        <f t="shared" si="9"/>
        <v>3357.0750000000003</v>
      </c>
      <c r="L33" s="82">
        <f t="shared" si="9"/>
        <v>3357.0750000000003</v>
      </c>
      <c r="M33" s="82">
        <f t="shared" si="9"/>
        <v>3357.0750000000003</v>
      </c>
      <c r="N33" s="61">
        <f t="shared" si="5"/>
        <v>40285</v>
      </c>
      <c r="O33" s="28" t="str">
        <f>IF((N33-Budget!C71)&lt;2,IF((N33-Budget!C71)&gt;-2,"Yes","No"),"No")</f>
        <v>Yes</v>
      </c>
    </row>
    <row r="34" spans="1:15" x14ac:dyDescent="0.35">
      <c r="A34" s="68" t="str">
        <f>Budget!A72</f>
        <v>Other Payroll Expenses/Taxes</v>
      </c>
      <c r="B34" s="81">
        <f>Budget!C72/12</f>
        <v>0</v>
      </c>
      <c r="C34" s="81">
        <f t="shared" si="3"/>
        <v>0</v>
      </c>
      <c r="D34" s="81">
        <f t="shared" si="9"/>
        <v>0</v>
      </c>
      <c r="E34" s="81">
        <f t="shared" si="9"/>
        <v>0</v>
      </c>
      <c r="F34" s="81">
        <f t="shared" si="9"/>
        <v>0</v>
      </c>
      <c r="G34" s="81">
        <f t="shared" si="9"/>
        <v>0</v>
      </c>
      <c r="H34" s="81">
        <f t="shared" si="9"/>
        <v>0</v>
      </c>
      <c r="I34" s="81">
        <f t="shared" si="9"/>
        <v>0</v>
      </c>
      <c r="J34" s="81">
        <f t="shared" si="9"/>
        <v>0</v>
      </c>
      <c r="K34" s="81">
        <f t="shared" si="9"/>
        <v>0</v>
      </c>
      <c r="L34" s="81">
        <f t="shared" si="9"/>
        <v>0</v>
      </c>
      <c r="M34" s="81">
        <f t="shared" si="9"/>
        <v>0</v>
      </c>
      <c r="N34" s="59">
        <f t="shared" si="5"/>
        <v>0</v>
      </c>
      <c r="O34" s="29" t="str">
        <f>IF((N34-Budget!C72)&lt;2,IF((N34-Budget!C72)&gt;-2,"Yes","No"),"No")</f>
        <v>Yes</v>
      </c>
    </row>
    <row r="35" spans="1:15" x14ac:dyDescent="0.35">
      <c r="A35" s="69" t="str">
        <f>Budget!A73</f>
        <v>Endorsement/Incentive Increases</v>
      </c>
      <c r="B35" s="82">
        <f>Budget!C73/12</f>
        <v>0</v>
      </c>
      <c r="C35" s="82">
        <f t="shared" si="3"/>
        <v>0</v>
      </c>
      <c r="D35" s="82">
        <f t="shared" si="9"/>
        <v>0</v>
      </c>
      <c r="E35" s="82">
        <f t="shared" si="9"/>
        <v>0</v>
      </c>
      <c r="F35" s="82">
        <f t="shared" si="9"/>
        <v>0</v>
      </c>
      <c r="G35" s="82">
        <f t="shared" si="9"/>
        <v>0</v>
      </c>
      <c r="H35" s="82">
        <f t="shared" si="9"/>
        <v>0</v>
      </c>
      <c r="I35" s="82">
        <f t="shared" si="9"/>
        <v>0</v>
      </c>
      <c r="J35" s="82">
        <f t="shared" si="9"/>
        <v>0</v>
      </c>
      <c r="K35" s="82">
        <f t="shared" si="9"/>
        <v>0</v>
      </c>
      <c r="L35" s="82">
        <f t="shared" si="9"/>
        <v>0</v>
      </c>
      <c r="M35" s="19">
        <f t="shared" si="9"/>
        <v>0</v>
      </c>
      <c r="N35" s="61">
        <f t="shared" si="5"/>
        <v>0</v>
      </c>
      <c r="O35" s="28" t="str">
        <f>IF((N35-Budget!C73)&lt;2,IF((N35-Budget!C73)&gt;-2,"Yes","No"),"No")</f>
        <v>Yes</v>
      </c>
    </row>
    <row r="36" spans="1:15" x14ac:dyDescent="0.35">
      <c r="A36" s="68">
        <f>Budget!A74</f>
        <v>0</v>
      </c>
      <c r="B36" s="81"/>
      <c r="C36" s="81"/>
      <c r="D36" s="81"/>
      <c r="E36" s="81"/>
      <c r="F36" s="81"/>
      <c r="G36" s="81"/>
      <c r="H36" s="81"/>
      <c r="I36" s="81"/>
      <c r="J36" s="81"/>
      <c r="K36" s="81"/>
      <c r="L36" s="81"/>
      <c r="M36" s="81"/>
      <c r="N36" s="59">
        <f t="shared" si="5"/>
        <v>0</v>
      </c>
      <c r="O36" s="29" t="str">
        <f>IF((N36-Budget!C74)&lt;2,IF((N36-Budget!C74)&gt;-2,"Yes","No"),"No")</f>
        <v>Yes</v>
      </c>
    </row>
    <row r="37" spans="1:15" ht="15.5" x14ac:dyDescent="0.35">
      <c r="A37" s="70" t="str">
        <f>Budget!A75</f>
        <v>Total Personnel Expenses</v>
      </c>
      <c r="B37" s="63">
        <f>SUM(B19:B36)</f>
        <v>51776.691666666666</v>
      </c>
      <c r="C37" s="63">
        <f t="shared" ref="C37:M37" si="10">SUM(C19:C36)</f>
        <v>57285.78257575757</v>
      </c>
      <c r="D37" s="63">
        <f t="shared" si="10"/>
        <v>57285.78257575757</v>
      </c>
      <c r="E37" s="63">
        <f t="shared" si="10"/>
        <v>57285.78257575757</v>
      </c>
      <c r="F37" s="63">
        <f t="shared" si="10"/>
        <v>57285.78257575757</v>
      </c>
      <c r="G37" s="63">
        <f t="shared" si="10"/>
        <v>57285.78257575757</v>
      </c>
      <c r="H37" s="63">
        <f t="shared" si="10"/>
        <v>57285.78257575757</v>
      </c>
      <c r="I37" s="63">
        <f t="shared" si="10"/>
        <v>57285.78257575757</v>
      </c>
      <c r="J37" s="63">
        <f t="shared" si="10"/>
        <v>57285.78257575757</v>
      </c>
      <c r="K37" s="63">
        <f t="shared" si="10"/>
        <v>57285.78257575757</v>
      </c>
      <c r="L37" s="63">
        <f t="shared" si="10"/>
        <v>57285.78257575757</v>
      </c>
      <c r="M37" s="63">
        <f t="shared" si="10"/>
        <v>57285.78257575757</v>
      </c>
      <c r="N37" s="61">
        <f t="shared" si="5"/>
        <v>681920</v>
      </c>
      <c r="O37" s="28" t="str">
        <f>IF((N37-Budget!C75)&lt;3,IF((N37-Budget!C75)&gt;-3,"Yes","No"),"No")</f>
        <v>Yes</v>
      </c>
    </row>
    <row r="38" spans="1:15" ht="18.5" x14ac:dyDescent="0.45">
      <c r="A38" s="110" t="str">
        <f>Budget!A76</f>
        <v xml:space="preserve">Instructional </v>
      </c>
      <c r="B38" s="111"/>
      <c r="C38" s="111"/>
      <c r="D38" s="111"/>
      <c r="E38" s="111"/>
      <c r="F38" s="111"/>
      <c r="G38" s="111"/>
      <c r="H38" s="111"/>
      <c r="I38" s="111"/>
      <c r="J38" s="111"/>
      <c r="K38" s="111"/>
      <c r="L38" s="111"/>
      <c r="M38" s="111"/>
      <c r="N38" s="111"/>
      <c r="O38" s="112"/>
    </row>
    <row r="39" spans="1:15" x14ac:dyDescent="0.35">
      <c r="A39" s="68" t="str">
        <f>Budget!A77</f>
        <v>Textbooks</v>
      </c>
      <c r="B39" s="81">
        <v>0</v>
      </c>
      <c r="C39" s="81">
        <v>100</v>
      </c>
      <c r="D39" s="81">
        <v>100</v>
      </c>
      <c r="E39" s="81">
        <v>100</v>
      </c>
      <c r="F39" s="81">
        <v>250</v>
      </c>
      <c r="G39" s="81">
        <v>250</v>
      </c>
      <c r="H39" s="81">
        <v>300</v>
      </c>
      <c r="I39" s="81">
        <v>300</v>
      </c>
      <c r="J39" s="81">
        <v>400</v>
      </c>
      <c r="K39" s="81">
        <v>360</v>
      </c>
      <c r="L39" s="81">
        <v>0</v>
      </c>
      <c r="M39" s="81">
        <v>0</v>
      </c>
      <c r="N39" s="59">
        <f t="shared" si="5"/>
        <v>2160</v>
      </c>
      <c r="O39" s="29" t="str">
        <f>IF((N39-Budget!C77)&lt;2,IF((N39-Budget!C77)&gt;-2,"Yes","No"),"No")</f>
        <v>Yes</v>
      </c>
    </row>
    <row r="40" spans="1:15" x14ac:dyDescent="0.35">
      <c r="A40" s="67" t="str">
        <f>Budget!A78</f>
        <v>Classroom Supplies</v>
      </c>
      <c r="B40" s="82">
        <v>350</v>
      </c>
      <c r="C40" s="82">
        <v>350</v>
      </c>
      <c r="D40" s="82">
        <v>300</v>
      </c>
      <c r="E40" s="82">
        <v>300</v>
      </c>
      <c r="F40" s="82">
        <v>500</v>
      </c>
      <c r="G40" s="82">
        <v>500</v>
      </c>
      <c r="H40" s="82">
        <v>500</v>
      </c>
      <c r="I40" s="82">
        <v>450</v>
      </c>
      <c r="J40" s="82">
        <v>300</v>
      </c>
      <c r="K40" s="82">
        <v>1000</v>
      </c>
      <c r="L40" s="82">
        <v>450</v>
      </c>
      <c r="M40" s="82">
        <v>400</v>
      </c>
      <c r="N40" s="61">
        <f t="shared" si="5"/>
        <v>5400</v>
      </c>
      <c r="O40" s="28" t="str">
        <f>IF((N40-Budget!C78)&lt;2,IF((N40-Budget!C78)&gt;-2,"Yes","No"),"No")</f>
        <v>Yes</v>
      </c>
    </row>
    <row r="41" spans="1:15" x14ac:dyDescent="0.35">
      <c r="A41" s="68" t="str">
        <f>Budget!A79</f>
        <v>Computers</v>
      </c>
      <c r="B41" s="183">
        <v>4320</v>
      </c>
      <c r="C41" s="81">
        <v>4320</v>
      </c>
      <c r="D41" s="81">
        <v>4320</v>
      </c>
      <c r="E41" s="81">
        <v>0</v>
      </c>
      <c r="F41" s="81">
        <v>0</v>
      </c>
      <c r="G41" s="81">
        <v>0</v>
      </c>
      <c r="H41" s="81">
        <v>0</v>
      </c>
      <c r="I41" s="81">
        <v>0</v>
      </c>
      <c r="J41" s="81">
        <v>0</v>
      </c>
      <c r="K41" s="81">
        <v>0</v>
      </c>
      <c r="L41" s="81">
        <v>0</v>
      </c>
      <c r="M41" s="81">
        <v>0</v>
      </c>
      <c r="N41" s="59">
        <f t="shared" si="5"/>
        <v>12960</v>
      </c>
      <c r="O41" s="29" t="str">
        <f>IF((N41-Budget!C79)&lt;2,IF((N41-Budget!C79)&gt;-2,"Yes","No"),"No")</f>
        <v>Yes</v>
      </c>
    </row>
    <row r="42" spans="1:15" x14ac:dyDescent="0.35">
      <c r="A42" s="67" t="str">
        <f>Budget!A80</f>
        <v>Software</v>
      </c>
      <c r="B42" s="82">
        <v>0</v>
      </c>
      <c r="C42" s="82">
        <v>1620</v>
      </c>
      <c r="D42" s="82">
        <v>0</v>
      </c>
      <c r="E42" s="82">
        <v>0</v>
      </c>
      <c r="F42" s="82">
        <v>0</v>
      </c>
      <c r="G42" s="82">
        <v>0</v>
      </c>
      <c r="H42" s="82">
        <v>0</v>
      </c>
      <c r="I42" s="82">
        <v>0</v>
      </c>
      <c r="J42" s="82">
        <v>0</v>
      </c>
      <c r="K42" s="82">
        <v>0</v>
      </c>
      <c r="L42" s="82">
        <v>0</v>
      </c>
      <c r="M42" s="82">
        <v>0</v>
      </c>
      <c r="N42" s="61">
        <f t="shared" si="5"/>
        <v>1620</v>
      </c>
      <c r="O42" s="28" t="str">
        <f>IF((N42-Budget!C80)&lt;2,IF((N42-Budget!C80)&gt;-2,"Yes","No"),"No")</f>
        <v>Yes</v>
      </c>
    </row>
    <row r="43" spans="1:15" x14ac:dyDescent="0.35">
      <c r="A43" s="68" t="str">
        <f>Budget!A81</f>
        <v>Field Trips</v>
      </c>
      <c r="B43" s="81">
        <v>0</v>
      </c>
      <c r="C43" s="81">
        <v>0</v>
      </c>
      <c r="D43" s="81">
        <v>0</v>
      </c>
      <c r="E43" s="81">
        <v>0</v>
      </c>
      <c r="F43" s="81">
        <v>0</v>
      </c>
      <c r="G43" s="81">
        <v>0</v>
      </c>
      <c r="H43" s="81">
        <v>0</v>
      </c>
      <c r="I43" s="81">
        <v>0</v>
      </c>
      <c r="J43" s="81">
        <v>0</v>
      </c>
      <c r="K43" s="81">
        <v>0</v>
      </c>
      <c r="L43" s="81">
        <v>500</v>
      </c>
      <c r="M43" s="81">
        <v>1000</v>
      </c>
      <c r="N43" s="59">
        <f t="shared" si="5"/>
        <v>1500</v>
      </c>
      <c r="O43" s="29" t="str">
        <f>IF((N43-Budget!C81)&lt;2,IF((N43-Budget!C81)&gt;-2,"Yes","No"),"No")</f>
        <v>Yes</v>
      </c>
    </row>
    <row r="44" spans="1:15" x14ac:dyDescent="0.35">
      <c r="A44" s="67" t="str">
        <f>Budget!A82</f>
        <v>Instructional Equipment</v>
      </c>
      <c r="B44" s="184">
        <v>540</v>
      </c>
      <c r="C44" s="184">
        <v>540</v>
      </c>
      <c r="D44" s="184">
        <v>540</v>
      </c>
      <c r="E44" s="184">
        <v>540</v>
      </c>
      <c r="F44" s="184">
        <v>540</v>
      </c>
      <c r="G44" s="184">
        <v>540</v>
      </c>
      <c r="H44" s="82">
        <v>0</v>
      </c>
      <c r="I44" s="82">
        <v>0</v>
      </c>
      <c r="J44" s="82">
        <v>0</v>
      </c>
      <c r="K44" s="82">
        <v>0</v>
      </c>
      <c r="L44" s="82">
        <v>0</v>
      </c>
      <c r="M44" s="82">
        <v>0</v>
      </c>
      <c r="N44" s="61">
        <f t="shared" si="5"/>
        <v>3240</v>
      </c>
      <c r="O44" s="28" t="str">
        <f>IF((N44-Budget!C82)&lt;2,IF((N44-Budget!C82)&gt;-2,"Yes","No"),"No")</f>
        <v>Yes</v>
      </c>
    </row>
    <row r="45" spans="1:15" x14ac:dyDescent="0.35">
      <c r="A45" s="68" t="str">
        <f>Budget!A83</f>
        <v>Library and Media Center</v>
      </c>
      <c r="B45" s="81">
        <v>0</v>
      </c>
      <c r="C45" s="81">
        <v>0</v>
      </c>
      <c r="D45" s="81">
        <v>50</v>
      </c>
      <c r="E45" s="81">
        <v>50</v>
      </c>
      <c r="F45" s="81">
        <v>625</v>
      </c>
      <c r="G45" s="81">
        <v>625</v>
      </c>
      <c r="H45" s="81">
        <v>625</v>
      </c>
      <c r="I45" s="81">
        <v>525</v>
      </c>
      <c r="J45" s="81">
        <v>0</v>
      </c>
      <c r="K45" s="81">
        <v>0</v>
      </c>
      <c r="L45" s="81">
        <v>0</v>
      </c>
      <c r="M45" s="81">
        <v>0</v>
      </c>
      <c r="N45" s="59">
        <f t="shared" si="5"/>
        <v>2500</v>
      </c>
      <c r="O45" s="29" t="str">
        <f>IF((N45-Budget!C83)&lt;2,IF((N45-Budget!C83)&gt;-2,"Yes","No"),"No")</f>
        <v>Yes</v>
      </c>
    </row>
    <row r="46" spans="1:15" x14ac:dyDescent="0.35">
      <c r="A46" s="67" t="str">
        <f>Budget!A84</f>
        <v>Student Assessment</v>
      </c>
      <c r="B46" s="184">
        <v>1080</v>
      </c>
      <c r="C46" s="184">
        <v>1080</v>
      </c>
      <c r="D46" s="82"/>
      <c r="E46" s="82"/>
      <c r="F46" s="82"/>
      <c r="G46" s="82"/>
      <c r="H46" s="82"/>
      <c r="I46" s="82"/>
      <c r="J46" s="82"/>
      <c r="K46" s="82"/>
      <c r="L46" s="82"/>
      <c r="M46" s="82"/>
      <c r="N46" s="61">
        <f t="shared" si="5"/>
        <v>2160</v>
      </c>
      <c r="O46" s="28" t="str">
        <f>IF((N46-Budget!C84)&lt;2,IF((N46-Budget!C84)&gt;-2,"Yes","No"),"No")</f>
        <v>Yes</v>
      </c>
    </row>
    <row r="47" spans="1:15" x14ac:dyDescent="0.35">
      <c r="A47" s="68" t="str">
        <f>Budget!A85</f>
        <v>Classroom Furniture</v>
      </c>
      <c r="B47" s="81">
        <v>0</v>
      </c>
      <c r="C47" s="81">
        <f>Budget!C85/11</f>
        <v>2272.7272727272725</v>
      </c>
      <c r="D47" s="81">
        <f>C47</f>
        <v>2272.7272727272725</v>
      </c>
      <c r="E47" s="81">
        <f t="shared" ref="E47:M47" si="11">D47</f>
        <v>2272.7272727272725</v>
      </c>
      <c r="F47" s="81">
        <f t="shared" si="11"/>
        <v>2272.7272727272725</v>
      </c>
      <c r="G47" s="81">
        <f t="shared" si="11"/>
        <v>2272.7272727272725</v>
      </c>
      <c r="H47" s="81">
        <f t="shared" si="11"/>
        <v>2272.7272727272725</v>
      </c>
      <c r="I47" s="81">
        <f t="shared" si="11"/>
        <v>2272.7272727272725</v>
      </c>
      <c r="J47" s="81">
        <f t="shared" si="11"/>
        <v>2272.7272727272725</v>
      </c>
      <c r="K47" s="81">
        <f t="shared" si="11"/>
        <v>2272.7272727272725</v>
      </c>
      <c r="L47" s="81">
        <f t="shared" si="11"/>
        <v>2272.7272727272725</v>
      </c>
      <c r="M47" s="81">
        <f t="shared" si="11"/>
        <v>2272.7272727272725</v>
      </c>
      <c r="N47" s="59">
        <f t="shared" si="5"/>
        <v>25000</v>
      </c>
      <c r="O47" s="29" t="str">
        <f>IF((N47-Budget!C85)&lt;2,IF((N47-Budget!C85)&gt;-2,"Yes","No"),"No")</f>
        <v>Yes</v>
      </c>
    </row>
    <row r="48" spans="1:15" x14ac:dyDescent="0.35">
      <c r="A48" s="67" t="str">
        <f>Budget!A86</f>
        <v>PE Equipment</v>
      </c>
      <c r="B48" s="82">
        <v>0</v>
      </c>
      <c r="C48" s="82">
        <v>0</v>
      </c>
      <c r="D48" s="82">
        <v>0</v>
      </c>
      <c r="E48" s="82">
        <v>0</v>
      </c>
      <c r="F48" s="82">
        <v>0</v>
      </c>
      <c r="G48" s="82">
        <v>0</v>
      </c>
      <c r="H48" s="82">
        <v>0</v>
      </c>
      <c r="I48" s="82">
        <v>0</v>
      </c>
      <c r="J48" s="82"/>
      <c r="K48" s="82">
        <v>382</v>
      </c>
      <c r="L48" s="82">
        <v>382</v>
      </c>
      <c r="M48" s="82">
        <v>0</v>
      </c>
      <c r="N48" s="61">
        <f t="shared" si="5"/>
        <v>764</v>
      </c>
      <c r="O48" s="28" t="str">
        <f>IF((N48-Budget!C86)&lt;2,IF((N48-Budget!C86)&gt;-2,"Yes","No"),"No")</f>
        <v>Yes</v>
      </c>
    </row>
    <row r="49" spans="1:15" x14ac:dyDescent="0.35">
      <c r="A49" s="68" t="str">
        <f>Budget!A87</f>
        <v>Art Supplies</v>
      </c>
      <c r="B49" s="81">
        <v>0</v>
      </c>
      <c r="C49" s="81">
        <v>0</v>
      </c>
      <c r="D49" s="81">
        <v>0</v>
      </c>
      <c r="E49" s="81">
        <v>0</v>
      </c>
      <c r="F49" s="81">
        <v>0</v>
      </c>
      <c r="G49" s="81">
        <v>0</v>
      </c>
      <c r="H49" s="81">
        <v>0</v>
      </c>
      <c r="I49" s="81">
        <v>0</v>
      </c>
      <c r="J49" s="81">
        <v>0</v>
      </c>
      <c r="K49" s="81">
        <v>270</v>
      </c>
      <c r="L49" s="81">
        <v>270</v>
      </c>
      <c r="M49" s="81">
        <v>0</v>
      </c>
      <c r="N49" s="59">
        <f t="shared" si="5"/>
        <v>540</v>
      </c>
      <c r="O49" s="29" t="str">
        <f>IF((N49-Budget!C87)&lt;2,IF((N49-Budget!C87)&gt;-2,"Yes","No"),"No")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50</v>
      </c>
      <c r="N50" s="61">
        <f t="shared" si="5"/>
        <v>50</v>
      </c>
      <c r="O50" s="28" t="str">
        <f>IF((N50-Budget!C88)&lt;2,IF((N50-Budget!C88)&gt;-2,"Yes","No"),"No")</f>
        <v>Yes</v>
      </c>
    </row>
    <row r="51" spans="1:15" x14ac:dyDescent="0.35">
      <c r="A51" s="68">
        <f>Budget!A89</f>
        <v>0</v>
      </c>
      <c r="B51" s="81"/>
      <c r="C51" s="81"/>
      <c r="D51" s="81"/>
      <c r="E51" s="81"/>
      <c r="F51" s="81"/>
      <c r="G51" s="81"/>
      <c r="H51" s="81"/>
      <c r="I51" s="81"/>
      <c r="J51" s="81"/>
      <c r="K51" s="81"/>
      <c r="L51" s="81"/>
      <c r="M51" s="81"/>
      <c r="N51" s="59">
        <f t="shared" si="5"/>
        <v>0</v>
      </c>
      <c r="O51" s="29" t="str">
        <f>IF((N51-Budget!C89)&lt;2,IF((N51-Budget!C89)&gt;-2,"Yes","No"),"No")</f>
        <v>Yes</v>
      </c>
    </row>
    <row r="52" spans="1:15" x14ac:dyDescent="0.35">
      <c r="A52" s="67">
        <f>Budget!A90</f>
        <v>0</v>
      </c>
      <c r="B52" s="82"/>
      <c r="C52" s="82"/>
      <c r="D52" s="82"/>
      <c r="E52" s="82"/>
      <c r="F52" s="82"/>
      <c r="G52" s="82"/>
      <c r="H52" s="82"/>
      <c r="I52" s="82"/>
      <c r="J52" s="82"/>
      <c r="K52" s="82"/>
      <c r="L52" s="82"/>
      <c r="M52" s="82"/>
      <c r="N52" s="61">
        <f t="shared" si="5"/>
        <v>0</v>
      </c>
      <c r="O52" s="28" t="str">
        <f>IF((N52-Budget!C90)&lt;2,IF((N52-Budget!C90)&gt;-2,"Yes","No"),"No")</f>
        <v>Yes</v>
      </c>
    </row>
    <row r="53" spans="1:15" x14ac:dyDescent="0.35">
      <c r="A53" s="31">
        <f>Budget!A91</f>
        <v>0</v>
      </c>
      <c r="B53" s="81"/>
      <c r="C53" s="81"/>
      <c r="D53" s="81"/>
      <c r="E53" s="81"/>
      <c r="F53" s="81"/>
      <c r="G53" s="81"/>
      <c r="H53" s="81"/>
      <c r="I53" s="81"/>
      <c r="J53" s="81"/>
      <c r="K53" s="81"/>
      <c r="L53" s="81"/>
      <c r="M53" s="81"/>
      <c r="N53" s="59">
        <f t="shared" si="5"/>
        <v>0</v>
      </c>
      <c r="O53" s="29" t="str">
        <f>IF((N53-Budget!C91)&lt;2,IF((N53-Budget!C91)&gt;-2,"Yes","No"),"No")</f>
        <v>Yes</v>
      </c>
    </row>
    <row r="54" spans="1:15" ht="15.5" x14ac:dyDescent="0.35">
      <c r="A54" s="70" t="str">
        <f>Budget!A92</f>
        <v>Total Instructional Expenses</v>
      </c>
      <c r="B54" s="63">
        <f>SUM(B39:B53)</f>
        <v>6290</v>
      </c>
      <c r="C54" s="63">
        <f t="shared" ref="C54:M54" si="12">SUM(C39:C53)</f>
        <v>10282.727272727272</v>
      </c>
      <c r="D54" s="63">
        <f t="shared" si="12"/>
        <v>7582.7272727272721</v>
      </c>
      <c r="E54" s="63">
        <f t="shared" si="12"/>
        <v>3262.7272727272725</v>
      </c>
      <c r="F54" s="63">
        <f t="shared" si="12"/>
        <v>4187.7272727272721</v>
      </c>
      <c r="G54" s="63">
        <f t="shared" si="12"/>
        <v>4187.7272727272721</v>
      </c>
      <c r="H54" s="63">
        <f t="shared" si="12"/>
        <v>3697.7272727272725</v>
      </c>
      <c r="I54" s="63">
        <f t="shared" si="12"/>
        <v>3547.7272727272725</v>
      </c>
      <c r="J54" s="63">
        <f t="shared" si="12"/>
        <v>2972.7272727272725</v>
      </c>
      <c r="K54" s="63">
        <f t="shared" si="12"/>
        <v>4284.7272727272721</v>
      </c>
      <c r="L54" s="63">
        <f t="shared" si="12"/>
        <v>3874.7272727272725</v>
      </c>
      <c r="M54" s="63">
        <f t="shared" si="12"/>
        <v>3722.7272727272725</v>
      </c>
      <c r="N54" s="63">
        <f t="shared" ref="N54" si="13">SUM(B54:M54)</f>
        <v>57893.999999999993</v>
      </c>
      <c r="O54" s="28" t="str">
        <f>IF((N54-Budget!C92)&lt;3,IF((N54-Budget!C92)&gt;-3,"Yes","No"),"No")</f>
        <v>Yes</v>
      </c>
    </row>
    <row r="55" spans="1:15" ht="18.5" x14ac:dyDescent="0.45">
      <c r="A55" s="110" t="str">
        <f>Budget!A93</f>
        <v xml:space="preserve">Services and Supplies </v>
      </c>
      <c r="B55" s="111"/>
      <c r="C55" s="111"/>
      <c r="D55" s="111"/>
      <c r="E55" s="111"/>
      <c r="F55" s="111"/>
      <c r="G55" s="111"/>
      <c r="H55" s="111"/>
      <c r="I55" s="111"/>
      <c r="J55" s="111"/>
      <c r="K55" s="111"/>
      <c r="L55" s="111"/>
      <c r="M55" s="111"/>
      <c r="N55" s="111"/>
      <c r="O55" s="112"/>
    </row>
    <row r="56" spans="1:15" x14ac:dyDescent="0.35">
      <c r="A56" s="71" t="str">
        <f>Budget!A94</f>
        <v>Student Uniforms</v>
      </c>
      <c r="B56" s="83">
        <v>0</v>
      </c>
      <c r="C56" s="83">
        <v>0</v>
      </c>
      <c r="D56" s="83">
        <v>0</v>
      </c>
      <c r="E56" s="83">
        <v>0</v>
      </c>
      <c r="F56" s="83">
        <v>0</v>
      </c>
      <c r="G56" s="83">
        <v>0</v>
      </c>
      <c r="H56" s="83">
        <v>0</v>
      </c>
      <c r="I56" s="83">
        <v>0</v>
      </c>
      <c r="J56" s="83">
        <v>0</v>
      </c>
      <c r="K56" s="83">
        <v>0</v>
      </c>
      <c r="L56" s="83">
        <v>0</v>
      </c>
      <c r="M56" s="83">
        <v>0</v>
      </c>
      <c r="N56" s="59">
        <f t="shared" ref="N56:N84" si="14">ROUND(SUM(B56:M56),0)</f>
        <v>0</v>
      </c>
      <c r="O56" s="29" t="str">
        <f>IF((N56-Budget!C94)&lt;2,IF((N56-Budget!C94)&gt;-2,"Yes","No"),"No")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14"/>
        <v>0</v>
      </c>
      <c r="O57" s="28" t="str">
        <f>IF((N57-Budget!C95)&lt;2,IF((N57-Budget!C95)&gt;-2,"Yes","No"),"No")</f>
        <v>Yes</v>
      </c>
    </row>
    <row r="58" spans="1:15" x14ac:dyDescent="0.35">
      <c r="A58" s="68" t="str">
        <f>Budget!A96</f>
        <v>Office Supplies</v>
      </c>
      <c r="B58" s="81">
        <v>300</v>
      </c>
      <c r="C58" s="81">
        <v>220</v>
      </c>
      <c r="D58" s="81">
        <v>200</v>
      </c>
      <c r="E58" s="81"/>
      <c r="F58" s="81"/>
      <c r="G58" s="81"/>
      <c r="H58" s="81"/>
      <c r="I58" s="81">
        <v>220</v>
      </c>
      <c r="J58" s="81">
        <v>220</v>
      </c>
      <c r="K58" s="81"/>
      <c r="L58" s="81"/>
      <c r="M58" s="81">
        <v>1000</v>
      </c>
      <c r="N58" s="59">
        <f t="shared" si="14"/>
        <v>2160</v>
      </c>
      <c r="O58" s="29" t="str">
        <f>IF((N58-Budget!C96)&lt;2,IF((N58-Budget!C96)&gt;-2,"Yes","No"),"No")</f>
        <v>Yes</v>
      </c>
    </row>
    <row r="59" spans="1:15" x14ac:dyDescent="0.35">
      <c r="A59" s="67" t="str">
        <f>Budget!A97</f>
        <v>Office Furniture</v>
      </c>
      <c r="B59" s="82">
        <v>0</v>
      </c>
      <c r="C59" s="82">
        <f>Budget!C97/11</f>
        <v>181.81818181818181</v>
      </c>
      <c r="D59" s="82">
        <f>C59</f>
        <v>181.81818181818181</v>
      </c>
      <c r="E59" s="82">
        <f t="shared" ref="E59:M59" si="15">D59</f>
        <v>181.81818181818181</v>
      </c>
      <c r="F59" s="82">
        <f t="shared" si="15"/>
        <v>181.81818181818181</v>
      </c>
      <c r="G59" s="82">
        <f t="shared" si="15"/>
        <v>181.81818181818181</v>
      </c>
      <c r="H59" s="82">
        <f t="shared" si="15"/>
        <v>181.81818181818181</v>
      </c>
      <c r="I59" s="82">
        <f t="shared" si="15"/>
        <v>181.81818181818181</v>
      </c>
      <c r="J59" s="82">
        <f t="shared" si="15"/>
        <v>181.81818181818181</v>
      </c>
      <c r="K59" s="82">
        <f t="shared" si="15"/>
        <v>181.81818181818181</v>
      </c>
      <c r="L59" s="82">
        <f t="shared" si="15"/>
        <v>181.81818181818181</v>
      </c>
      <c r="M59" s="82">
        <f t="shared" si="15"/>
        <v>181.81818181818181</v>
      </c>
      <c r="N59" s="61">
        <f t="shared" si="14"/>
        <v>2000</v>
      </c>
      <c r="O59" s="28" t="str">
        <f>IF((N59-Budget!C97)&lt;2,IF((N59-Budget!C97)&gt;-2,"Yes","No"),"No")</f>
        <v>Yes</v>
      </c>
    </row>
    <row r="60" spans="1:15" x14ac:dyDescent="0.35">
      <c r="A60" s="68" t="str">
        <f>Budget!A98</f>
        <v>Office Computers and Software</v>
      </c>
      <c r="B60" s="81">
        <v>500</v>
      </c>
      <c r="C60" s="81">
        <v>500</v>
      </c>
      <c r="D60" s="81">
        <v>250</v>
      </c>
      <c r="E60" s="81">
        <v>250</v>
      </c>
      <c r="F60" s="81">
        <v>0</v>
      </c>
      <c r="G60" s="81">
        <v>0</v>
      </c>
      <c r="H60" s="81">
        <v>0</v>
      </c>
      <c r="I60" s="81">
        <v>0</v>
      </c>
      <c r="J60" s="81">
        <v>0</v>
      </c>
      <c r="K60" s="81">
        <v>0</v>
      </c>
      <c r="L60" s="81">
        <v>0</v>
      </c>
      <c r="M60" s="81">
        <v>0</v>
      </c>
      <c r="N60" s="59">
        <f t="shared" si="14"/>
        <v>1500</v>
      </c>
      <c r="O60" s="29" t="str">
        <f>IF((N60-Budget!C98)&lt;2,IF((N60-Budget!C98)&gt;-2,"Yes","No"),"No")</f>
        <v>Yes</v>
      </c>
    </row>
    <row r="61" spans="1:15" x14ac:dyDescent="0.35">
      <c r="A61" s="67" t="str">
        <f>Budget!A99</f>
        <v>Printing and Copying Services</v>
      </c>
      <c r="B61" s="82">
        <v>200</v>
      </c>
      <c r="C61" s="82">
        <v>100</v>
      </c>
      <c r="D61" s="82">
        <v>100</v>
      </c>
      <c r="E61" s="82">
        <v>100</v>
      </c>
      <c r="F61" s="82">
        <v>400</v>
      </c>
      <c r="G61" s="82">
        <v>400</v>
      </c>
      <c r="H61" s="82">
        <v>200</v>
      </c>
      <c r="I61" s="82">
        <v>100</v>
      </c>
      <c r="J61" s="82">
        <v>100</v>
      </c>
      <c r="K61" s="82">
        <v>500</v>
      </c>
      <c r="L61" s="82">
        <v>2000</v>
      </c>
      <c r="M61" s="82">
        <v>1200</v>
      </c>
      <c r="N61" s="61">
        <f t="shared" si="14"/>
        <v>5400</v>
      </c>
      <c r="O61" s="28" t="str">
        <f>IF((N61-Budget!C99)&lt;2,IF((N61-Budget!C99)&gt;-2,"Yes","No"),"No")</f>
        <v>Yes</v>
      </c>
    </row>
    <row r="62" spans="1:15" x14ac:dyDescent="0.35">
      <c r="A62" s="68" t="str">
        <f>Budget!A100</f>
        <v>Postage and Shipping</v>
      </c>
      <c r="B62" s="81">
        <v>0</v>
      </c>
      <c r="C62" s="81">
        <v>81</v>
      </c>
      <c r="D62" s="81">
        <v>0</v>
      </c>
      <c r="E62" s="81">
        <v>0</v>
      </c>
      <c r="F62" s="81">
        <v>0</v>
      </c>
      <c r="G62" s="81">
        <v>81</v>
      </c>
      <c r="H62" s="81">
        <v>0</v>
      </c>
      <c r="I62" s="81">
        <v>81</v>
      </c>
      <c r="J62" s="81">
        <v>0</v>
      </c>
      <c r="K62" s="81">
        <v>0</v>
      </c>
      <c r="L62" s="81">
        <v>0</v>
      </c>
      <c r="M62" s="81">
        <v>81</v>
      </c>
      <c r="N62" s="59">
        <f t="shared" si="14"/>
        <v>324</v>
      </c>
      <c r="O62" s="29" t="str">
        <f>IF((N62-Budget!C100)&lt;2,IF((N62-Budget!C100)&gt;-2,"Yes","No"),"No")</f>
        <v>Yes</v>
      </c>
    </row>
    <row r="63" spans="1:15" x14ac:dyDescent="0.35">
      <c r="A63" s="67" t="str">
        <f>Budget!A101</f>
        <v>Bookkeeping</v>
      </c>
      <c r="B63" s="82">
        <f>Budget!C101/12</f>
        <v>0</v>
      </c>
      <c r="C63" s="82">
        <f>B63</f>
        <v>0</v>
      </c>
      <c r="D63" s="82">
        <f t="shared" ref="D63:M63" si="16">C63</f>
        <v>0</v>
      </c>
      <c r="E63" s="82">
        <f t="shared" si="16"/>
        <v>0</v>
      </c>
      <c r="F63" s="82">
        <f t="shared" si="16"/>
        <v>0</v>
      </c>
      <c r="G63" s="82">
        <f t="shared" si="16"/>
        <v>0</v>
      </c>
      <c r="H63" s="82">
        <f t="shared" si="16"/>
        <v>0</v>
      </c>
      <c r="I63" s="82">
        <f t="shared" si="16"/>
        <v>0</v>
      </c>
      <c r="J63" s="82">
        <f t="shared" si="16"/>
        <v>0</v>
      </c>
      <c r="K63" s="82">
        <f t="shared" si="16"/>
        <v>0</v>
      </c>
      <c r="L63" s="82">
        <f t="shared" si="16"/>
        <v>0</v>
      </c>
      <c r="M63" s="82">
        <f t="shared" si="16"/>
        <v>0</v>
      </c>
      <c r="N63" s="61">
        <f t="shared" si="14"/>
        <v>0</v>
      </c>
      <c r="O63" s="28" t="str">
        <f>IF((N63-Budget!C101)&lt;2,IF((N63-Budget!C101)&gt;-2,"Yes","No"),"No")</f>
        <v>Yes</v>
      </c>
    </row>
    <row r="64" spans="1:15" x14ac:dyDescent="0.35">
      <c r="A64" s="68" t="str">
        <f>Budget!A102</f>
        <v>Audit Fees</v>
      </c>
      <c r="B64" s="81">
        <f>Budget!C102/12</f>
        <v>0</v>
      </c>
      <c r="C64" s="81">
        <f>B24</f>
        <v>0</v>
      </c>
      <c r="D64" s="81">
        <f t="shared" ref="D64:M64" si="17">C24</f>
        <v>0</v>
      </c>
      <c r="E64" s="81">
        <f t="shared" si="17"/>
        <v>0</v>
      </c>
      <c r="F64" s="81">
        <f t="shared" si="17"/>
        <v>0</v>
      </c>
      <c r="G64" s="81">
        <f t="shared" si="17"/>
        <v>0</v>
      </c>
      <c r="H64" s="81">
        <f t="shared" si="17"/>
        <v>0</v>
      </c>
      <c r="I64" s="81">
        <f t="shared" si="17"/>
        <v>0</v>
      </c>
      <c r="J64" s="81">
        <f t="shared" si="17"/>
        <v>0</v>
      </c>
      <c r="K64" s="81">
        <f t="shared" si="17"/>
        <v>0</v>
      </c>
      <c r="L64" s="81">
        <f t="shared" si="17"/>
        <v>0</v>
      </c>
      <c r="M64" s="81">
        <f t="shared" si="17"/>
        <v>0</v>
      </c>
      <c r="N64" s="59">
        <f t="shared" si="14"/>
        <v>0</v>
      </c>
      <c r="O64" s="29" t="str">
        <f>IF((N64-Budget!C102)&lt;2,IF((N64-Budget!C102)&gt;-2,"Yes","No"),"No")</f>
        <v>Yes</v>
      </c>
    </row>
    <row r="65" spans="1:15" x14ac:dyDescent="0.35">
      <c r="A65" s="67" t="str">
        <f>Budget!A103</f>
        <v>Payroll Services</v>
      </c>
      <c r="B65" s="82">
        <f>Budget!C103/12</f>
        <v>900</v>
      </c>
      <c r="C65" s="82">
        <f>B65</f>
        <v>900</v>
      </c>
      <c r="D65" s="82">
        <f t="shared" ref="D65:M65" si="18">C65</f>
        <v>900</v>
      </c>
      <c r="E65" s="82">
        <f t="shared" si="18"/>
        <v>900</v>
      </c>
      <c r="F65" s="82">
        <f t="shared" si="18"/>
        <v>900</v>
      </c>
      <c r="G65" s="82">
        <f t="shared" si="18"/>
        <v>900</v>
      </c>
      <c r="H65" s="82">
        <f t="shared" si="18"/>
        <v>900</v>
      </c>
      <c r="I65" s="82">
        <f t="shared" si="18"/>
        <v>900</v>
      </c>
      <c r="J65" s="82">
        <f t="shared" si="18"/>
        <v>900</v>
      </c>
      <c r="K65" s="82">
        <f t="shared" si="18"/>
        <v>900</v>
      </c>
      <c r="L65" s="82">
        <f t="shared" si="18"/>
        <v>900</v>
      </c>
      <c r="M65" s="82">
        <f t="shared" si="18"/>
        <v>900</v>
      </c>
      <c r="N65" s="61">
        <f t="shared" si="14"/>
        <v>10800</v>
      </c>
      <c r="O65" s="28" t="str">
        <f>IF((N65-Budget!C103)&lt;2,IF((N65-Budget!C103)&gt;-2,"Yes","No"),"No")</f>
        <v>Yes</v>
      </c>
    </row>
    <row r="66" spans="1:15" x14ac:dyDescent="0.35">
      <c r="A66" s="68" t="str">
        <f>Budget!A104</f>
        <v>Banking Fees</v>
      </c>
      <c r="B66" s="81">
        <f>Budget!C104/12</f>
        <v>0</v>
      </c>
      <c r="C66" s="81">
        <f>B66</f>
        <v>0</v>
      </c>
      <c r="D66" s="81">
        <f t="shared" ref="D66:M66" si="19">C66</f>
        <v>0</v>
      </c>
      <c r="E66" s="81">
        <f t="shared" si="19"/>
        <v>0</v>
      </c>
      <c r="F66" s="81">
        <f t="shared" si="19"/>
        <v>0</v>
      </c>
      <c r="G66" s="81">
        <f t="shared" si="19"/>
        <v>0</v>
      </c>
      <c r="H66" s="81">
        <f t="shared" si="19"/>
        <v>0</v>
      </c>
      <c r="I66" s="81">
        <f t="shared" si="19"/>
        <v>0</v>
      </c>
      <c r="J66" s="81">
        <f t="shared" si="19"/>
        <v>0</v>
      </c>
      <c r="K66" s="81">
        <f t="shared" si="19"/>
        <v>0</v>
      </c>
      <c r="L66" s="81">
        <f t="shared" si="19"/>
        <v>0</v>
      </c>
      <c r="M66" s="81">
        <f t="shared" si="19"/>
        <v>0</v>
      </c>
      <c r="N66" s="59">
        <f t="shared" si="14"/>
        <v>0</v>
      </c>
      <c r="O66" s="29" t="str">
        <f>IF((N66-Budget!C104)&lt;2,IF((N66-Budget!C104)&gt;-2,"Yes","No"),"No")</f>
        <v>Yes</v>
      </c>
    </row>
    <row r="67" spans="1:15" x14ac:dyDescent="0.35">
      <c r="A67" s="67" t="str">
        <f>Budget!A105</f>
        <v>Legal Fees</v>
      </c>
      <c r="B67" s="82">
        <f>Budget!C105/12</f>
        <v>104.16666666666667</v>
      </c>
      <c r="C67" s="82">
        <f>B67</f>
        <v>104.16666666666667</v>
      </c>
      <c r="D67" s="82">
        <f t="shared" ref="D67:M68" si="20">C67</f>
        <v>104.16666666666667</v>
      </c>
      <c r="E67" s="82">
        <f t="shared" si="20"/>
        <v>104.16666666666667</v>
      </c>
      <c r="F67" s="82">
        <f t="shared" si="20"/>
        <v>104.16666666666667</v>
      </c>
      <c r="G67" s="82">
        <f t="shared" si="20"/>
        <v>104.16666666666667</v>
      </c>
      <c r="H67" s="82">
        <f t="shared" si="20"/>
        <v>104.16666666666667</v>
      </c>
      <c r="I67" s="82">
        <f t="shared" si="20"/>
        <v>104.16666666666667</v>
      </c>
      <c r="J67" s="82">
        <f t="shared" si="20"/>
        <v>104.16666666666667</v>
      </c>
      <c r="K67" s="82">
        <f t="shared" si="20"/>
        <v>104.16666666666667</v>
      </c>
      <c r="L67" s="82">
        <f t="shared" si="20"/>
        <v>104.16666666666667</v>
      </c>
      <c r="M67" s="82">
        <f t="shared" si="20"/>
        <v>104.16666666666667</v>
      </c>
      <c r="N67" s="61">
        <f t="shared" si="14"/>
        <v>1250</v>
      </c>
      <c r="O67" s="28" t="str">
        <f>IF((N67-Budget!C105)&lt;2,IF((N67-Budget!C105)&gt;-2,"Yes","No"),"No")</f>
        <v>Yes</v>
      </c>
    </row>
    <row r="68" spans="1:15" x14ac:dyDescent="0.35">
      <c r="A68" s="68" t="str">
        <f>Budget!A106</f>
        <v>Liability and Property Insurance</v>
      </c>
      <c r="B68" s="81">
        <f>Budget!C106/12</f>
        <v>1161.6666666666667</v>
      </c>
      <c r="C68" s="81">
        <f>B68</f>
        <v>1161.6666666666667</v>
      </c>
      <c r="D68" s="81">
        <f t="shared" si="20"/>
        <v>1161.6666666666667</v>
      </c>
      <c r="E68" s="81">
        <f t="shared" si="20"/>
        <v>1161.6666666666667</v>
      </c>
      <c r="F68" s="81">
        <f t="shared" si="20"/>
        <v>1161.6666666666667</v>
      </c>
      <c r="G68" s="81">
        <f t="shared" si="20"/>
        <v>1161.6666666666667</v>
      </c>
      <c r="H68" s="81">
        <f t="shared" si="20"/>
        <v>1161.6666666666667</v>
      </c>
      <c r="I68" s="81">
        <f t="shared" si="20"/>
        <v>1161.6666666666667</v>
      </c>
      <c r="J68" s="81">
        <f t="shared" si="20"/>
        <v>1161.6666666666667</v>
      </c>
      <c r="K68" s="81">
        <f t="shared" si="20"/>
        <v>1161.6666666666667</v>
      </c>
      <c r="L68" s="81">
        <f t="shared" si="20"/>
        <v>1161.6666666666667</v>
      </c>
      <c r="M68" s="81">
        <f t="shared" si="20"/>
        <v>1161.6666666666667</v>
      </c>
      <c r="N68" s="59">
        <f t="shared" si="14"/>
        <v>13940</v>
      </c>
      <c r="O68" s="29" t="str">
        <f>IF((N68-Budget!C106)&lt;2,IF((N68-Budget!C106)&gt;-2,"Yes","No"),"No")</f>
        <v>Yes</v>
      </c>
    </row>
    <row r="69" spans="1:15" x14ac:dyDescent="0.35">
      <c r="A69" s="67" t="str">
        <f>Budget!A107</f>
        <v>Staff Development</v>
      </c>
      <c r="B69" s="82">
        <v>500</v>
      </c>
      <c r="C69" s="82">
        <v>200</v>
      </c>
      <c r="D69" s="82">
        <v>200</v>
      </c>
      <c r="E69" s="82">
        <v>200</v>
      </c>
      <c r="F69" s="82">
        <v>200</v>
      </c>
      <c r="G69" s="82">
        <v>200</v>
      </c>
      <c r="H69" s="82">
        <v>200</v>
      </c>
      <c r="I69" s="82">
        <v>200</v>
      </c>
      <c r="J69" s="82">
        <v>200</v>
      </c>
      <c r="K69" s="82">
        <v>200</v>
      </c>
      <c r="L69" s="82">
        <v>200</v>
      </c>
      <c r="M69" s="82">
        <v>200</v>
      </c>
      <c r="N69" s="61">
        <f t="shared" si="14"/>
        <v>2700</v>
      </c>
      <c r="O69" s="28" t="str">
        <f>IF((N69-Budget!C107)&lt;2,IF((N69-Budget!C107)&gt;-2,"Yes","No"),"No")</f>
        <v>Yes</v>
      </c>
    </row>
    <row r="70" spans="1:15" x14ac:dyDescent="0.35">
      <c r="A70" s="68" t="str">
        <f>Budget!A108</f>
        <v>Special Education Contracted Services</v>
      </c>
      <c r="B70" s="81">
        <v>0</v>
      </c>
      <c r="C70" s="81">
        <v>0</v>
      </c>
      <c r="D70" s="81">
        <v>1000</v>
      </c>
      <c r="E70" s="81">
        <v>2500</v>
      </c>
      <c r="F70" s="81">
        <v>1528</v>
      </c>
      <c r="G70" s="81">
        <v>500</v>
      </c>
      <c r="H70" s="81">
        <v>2500</v>
      </c>
      <c r="I70" s="81">
        <v>2000</v>
      </c>
      <c r="J70" s="81">
        <v>1000</v>
      </c>
      <c r="K70" s="81">
        <v>1000</v>
      </c>
      <c r="L70" s="81">
        <v>500</v>
      </c>
      <c r="M70" s="81">
        <v>0</v>
      </c>
      <c r="N70" s="59">
        <f t="shared" si="14"/>
        <v>12528</v>
      </c>
      <c r="O70" s="29" t="str">
        <f>IF((N70-Budget!C108)&lt;2,IF((N70-Budget!C108)&gt;-2,"Yes","No"),"No")</f>
        <v>Yes</v>
      </c>
    </row>
    <row r="71" spans="1:15" x14ac:dyDescent="0.35">
      <c r="A71" s="67" t="str">
        <f>Budget!A109</f>
        <v>Health Services and Supplies</v>
      </c>
      <c r="B71" s="82">
        <v>0</v>
      </c>
      <c r="C71" s="82">
        <f>Budget!C109/11</f>
        <v>883.63636363636363</v>
      </c>
      <c r="D71" s="82">
        <f>C71</f>
        <v>883.63636363636363</v>
      </c>
      <c r="E71" s="82">
        <f t="shared" ref="E71:M71" si="21">D71</f>
        <v>883.63636363636363</v>
      </c>
      <c r="F71" s="82">
        <f t="shared" si="21"/>
        <v>883.63636363636363</v>
      </c>
      <c r="G71" s="82">
        <f t="shared" si="21"/>
        <v>883.63636363636363</v>
      </c>
      <c r="H71" s="82">
        <f t="shared" si="21"/>
        <v>883.63636363636363</v>
      </c>
      <c r="I71" s="82">
        <f t="shared" si="21"/>
        <v>883.63636363636363</v>
      </c>
      <c r="J71" s="82">
        <f t="shared" si="21"/>
        <v>883.63636363636363</v>
      </c>
      <c r="K71" s="82">
        <f t="shared" si="21"/>
        <v>883.63636363636363</v>
      </c>
      <c r="L71" s="82">
        <f t="shared" si="21"/>
        <v>883.63636363636363</v>
      </c>
      <c r="M71" s="82">
        <f t="shared" si="21"/>
        <v>883.63636363636363</v>
      </c>
      <c r="N71" s="61">
        <f t="shared" si="14"/>
        <v>9720</v>
      </c>
      <c r="O71" s="28" t="str">
        <f>IF((N71-Budget!C109)&lt;2,IF((N71-Budget!C109)&gt;-2,"Yes","No"),"No")</f>
        <v>Yes</v>
      </c>
    </row>
    <row r="72" spans="1:15" x14ac:dyDescent="0.35">
      <c r="A72" s="68" t="str">
        <f>Budget!A110</f>
        <v>Staff Recruitment</v>
      </c>
      <c r="B72" s="81">
        <v>675</v>
      </c>
      <c r="C72" s="81">
        <v>500</v>
      </c>
      <c r="D72" s="81">
        <v>175</v>
      </c>
      <c r="E72" s="81">
        <v>0</v>
      </c>
      <c r="F72" s="81">
        <v>0</v>
      </c>
      <c r="G72" s="81">
        <v>0</v>
      </c>
      <c r="H72" s="81">
        <v>0</v>
      </c>
      <c r="I72" s="81">
        <v>675</v>
      </c>
      <c r="J72" s="81">
        <v>337.5</v>
      </c>
      <c r="K72" s="81">
        <v>0</v>
      </c>
      <c r="L72" s="81">
        <v>337.5</v>
      </c>
      <c r="M72" s="81">
        <v>0</v>
      </c>
      <c r="N72" s="59">
        <f t="shared" si="14"/>
        <v>2700</v>
      </c>
      <c r="O72" s="29" t="str">
        <f>IF((N72-Budget!C110)&lt;2,IF((N72-Budget!C110)&gt;-2,"Yes","No"),"No")</f>
        <v>Yes</v>
      </c>
    </row>
    <row r="73" spans="1:15" x14ac:dyDescent="0.35">
      <c r="A73" s="67" t="str">
        <f>Budget!A111</f>
        <v>Student Recruitment</v>
      </c>
      <c r="B73" s="82">
        <v>500</v>
      </c>
      <c r="C73" s="82">
        <v>150</v>
      </c>
      <c r="D73" s="82">
        <v>150</v>
      </c>
      <c r="E73" s="82">
        <v>180</v>
      </c>
      <c r="F73" s="82">
        <v>0</v>
      </c>
      <c r="G73" s="82">
        <v>0</v>
      </c>
      <c r="H73" s="19">
        <v>0</v>
      </c>
      <c r="I73" s="19">
        <v>0</v>
      </c>
      <c r="J73" s="19">
        <v>0</v>
      </c>
      <c r="K73" s="19">
        <v>0</v>
      </c>
      <c r="L73" s="19">
        <v>0</v>
      </c>
      <c r="M73" s="19">
        <v>100</v>
      </c>
      <c r="N73" s="61">
        <f t="shared" si="14"/>
        <v>1080</v>
      </c>
      <c r="O73" s="28" t="str">
        <f>IF((N73-Budget!C111)&lt;2,IF((N73-Budget!C111)&gt;-2,"Yes","No"),"No")</f>
        <v>Yes</v>
      </c>
    </row>
    <row r="74" spans="1:15" x14ac:dyDescent="0.35">
      <c r="A74" s="68" t="str">
        <f>Budget!A112</f>
        <v>Technology Support</v>
      </c>
      <c r="B74" s="81">
        <f>Budget!C112/12</f>
        <v>216</v>
      </c>
      <c r="C74" s="81">
        <f>B74</f>
        <v>216</v>
      </c>
      <c r="D74" s="81">
        <f t="shared" ref="D74:M74" si="22">C74</f>
        <v>216</v>
      </c>
      <c r="E74" s="81">
        <f t="shared" si="22"/>
        <v>216</v>
      </c>
      <c r="F74" s="81">
        <f t="shared" si="22"/>
        <v>216</v>
      </c>
      <c r="G74" s="81">
        <f t="shared" si="22"/>
        <v>216</v>
      </c>
      <c r="H74" s="81">
        <f t="shared" si="22"/>
        <v>216</v>
      </c>
      <c r="I74" s="81">
        <f t="shared" si="22"/>
        <v>216</v>
      </c>
      <c r="J74" s="81">
        <f t="shared" si="22"/>
        <v>216</v>
      </c>
      <c r="K74" s="81">
        <f t="shared" si="22"/>
        <v>216</v>
      </c>
      <c r="L74" s="81">
        <f t="shared" si="22"/>
        <v>216</v>
      </c>
      <c r="M74" s="81">
        <f t="shared" si="22"/>
        <v>216</v>
      </c>
      <c r="N74" s="59">
        <f t="shared" si="14"/>
        <v>2592</v>
      </c>
      <c r="O74" s="29" t="str">
        <f>IF((N74-Budget!C112)&lt;2,IF((N74-Budget!C112)&gt;-2,"Yes","No"),"No")</f>
        <v>Yes</v>
      </c>
    </row>
    <row r="75" spans="1:15" x14ac:dyDescent="0.35">
      <c r="A75" s="67" t="str">
        <f>Budget!A113</f>
        <v>Phone/Internet Service</v>
      </c>
      <c r="B75" s="82">
        <f>Budget!C113/12</f>
        <v>76.5</v>
      </c>
      <c r="C75" s="82">
        <f>B75</f>
        <v>76.5</v>
      </c>
      <c r="D75" s="82">
        <f t="shared" ref="D75:M75" si="23">C75</f>
        <v>76.5</v>
      </c>
      <c r="E75" s="82">
        <f t="shared" si="23"/>
        <v>76.5</v>
      </c>
      <c r="F75" s="82">
        <f t="shared" si="23"/>
        <v>76.5</v>
      </c>
      <c r="G75" s="82">
        <f t="shared" si="23"/>
        <v>76.5</v>
      </c>
      <c r="H75" s="82">
        <f t="shared" si="23"/>
        <v>76.5</v>
      </c>
      <c r="I75" s="82">
        <f t="shared" si="23"/>
        <v>76.5</v>
      </c>
      <c r="J75" s="82">
        <f t="shared" si="23"/>
        <v>76.5</v>
      </c>
      <c r="K75" s="82">
        <f t="shared" si="23"/>
        <v>76.5</v>
      </c>
      <c r="L75" s="82">
        <f t="shared" si="23"/>
        <v>76.5</v>
      </c>
      <c r="M75" s="82">
        <f t="shared" si="23"/>
        <v>76.5</v>
      </c>
      <c r="N75" s="61">
        <f t="shared" si="14"/>
        <v>918</v>
      </c>
      <c r="O75" s="28" t="str">
        <f>IF((N75-Budget!C113)&lt;2,IF((N75-Budget!C113)&gt;-2,"Yes","No"),"No")</f>
        <v>Yes</v>
      </c>
    </row>
    <row r="76" spans="1:15" x14ac:dyDescent="0.35">
      <c r="A76" s="68" t="str">
        <f>Budget!A114</f>
        <v>Food Service</v>
      </c>
      <c r="B76" s="81">
        <v>0</v>
      </c>
      <c r="C76" s="81">
        <f>Budget!C114/10</f>
        <v>10692</v>
      </c>
      <c r="D76" s="81">
        <f>C76</f>
        <v>10692</v>
      </c>
      <c r="E76" s="81">
        <f t="shared" ref="E76:L76" si="24">D76</f>
        <v>10692</v>
      </c>
      <c r="F76" s="81">
        <f t="shared" si="24"/>
        <v>10692</v>
      </c>
      <c r="G76" s="81">
        <f t="shared" si="24"/>
        <v>10692</v>
      </c>
      <c r="H76" s="81">
        <f t="shared" si="24"/>
        <v>10692</v>
      </c>
      <c r="I76" s="81">
        <f t="shared" si="24"/>
        <v>10692</v>
      </c>
      <c r="J76" s="81">
        <f t="shared" si="24"/>
        <v>10692</v>
      </c>
      <c r="K76" s="81">
        <f t="shared" si="24"/>
        <v>10692</v>
      </c>
      <c r="L76" s="81">
        <f t="shared" si="24"/>
        <v>10692</v>
      </c>
      <c r="M76" s="81">
        <v>0</v>
      </c>
      <c r="N76" s="59">
        <f t="shared" si="14"/>
        <v>106920</v>
      </c>
      <c r="O76" s="29" t="str">
        <f>IF((N76-Budget!C114)&lt;2,IF((N76-Budget!C114)&gt;-2,"Yes","No"),"No")</f>
        <v>Yes</v>
      </c>
    </row>
    <row r="77" spans="1:15" x14ac:dyDescent="0.35">
      <c r="A77" s="67" t="str">
        <f>Budget!A115</f>
        <v>Transportation</v>
      </c>
      <c r="B77" s="82">
        <v>0</v>
      </c>
      <c r="C77" s="82">
        <f>192.5*19</f>
        <v>3657.5</v>
      </c>
      <c r="D77" s="82">
        <f>192.5*20</f>
        <v>3850</v>
      </c>
      <c r="E77" s="82">
        <f>192.5*19</f>
        <v>3657.5</v>
      </c>
      <c r="F77" s="82">
        <f>192.5*16</f>
        <v>3080</v>
      </c>
      <c r="G77" s="82">
        <f>192.5*11</f>
        <v>2117.5</v>
      </c>
      <c r="H77" s="82">
        <f>192.5*21</f>
        <v>4042.5</v>
      </c>
      <c r="I77" s="82">
        <f>192.5*20</f>
        <v>3850</v>
      </c>
      <c r="J77" s="82">
        <f>192.5*19</f>
        <v>3657.5</v>
      </c>
      <c r="K77" s="82">
        <f>192.5*17</f>
        <v>3272.5</v>
      </c>
      <c r="L77" s="82">
        <f>192.5*18</f>
        <v>3465</v>
      </c>
      <c r="M77" s="82">
        <v>0</v>
      </c>
      <c r="N77" s="61">
        <f t="shared" si="14"/>
        <v>34650</v>
      </c>
      <c r="O77" s="28" t="str">
        <f>IF((N77-Budget!C115)&lt;2,IF((N77-Budget!C115)&gt;-2,"Yes","No"),"No")</f>
        <v>Yes</v>
      </c>
    </row>
    <row r="78" spans="1:15" x14ac:dyDescent="0.35">
      <c r="A78" s="68" t="str">
        <f>Budget!A116</f>
        <v>Pest Control</v>
      </c>
      <c r="B78" s="81">
        <f>Budget!C116/12</f>
        <v>12.5</v>
      </c>
      <c r="C78" s="81">
        <f>B78</f>
        <v>12.5</v>
      </c>
      <c r="D78" s="81">
        <f t="shared" ref="D78:M80" si="25">C78</f>
        <v>12.5</v>
      </c>
      <c r="E78" s="81">
        <f t="shared" si="25"/>
        <v>12.5</v>
      </c>
      <c r="F78" s="81">
        <f t="shared" si="25"/>
        <v>12.5</v>
      </c>
      <c r="G78" s="81">
        <f t="shared" si="25"/>
        <v>12.5</v>
      </c>
      <c r="H78" s="81">
        <f t="shared" si="25"/>
        <v>12.5</v>
      </c>
      <c r="I78" s="81">
        <f t="shared" si="25"/>
        <v>12.5</v>
      </c>
      <c r="J78" s="81">
        <f t="shared" si="25"/>
        <v>12.5</v>
      </c>
      <c r="K78" s="81">
        <f t="shared" si="25"/>
        <v>12.5</v>
      </c>
      <c r="L78" s="81">
        <f t="shared" si="25"/>
        <v>12.5</v>
      </c>
      <c r="M78" s="81">
        <f t="shared" si="25"/>
        <v>12.5</v>
      </c>
      <c r="N78" s="59">
        <f t="shared" si="14"/>
        <v>150</v>
      </c>
      <c r="O78" s="29" t="str">
        <f>IF((N78-Budget!C116)&lt;2,IF((N78-Budget!C116)&gt;-2,"Yes","No"),"No")</f>
        <v>Yes</v>
      </c>
    </row>
    <row r="79" spans="1:15" x14ac:dyDescent="0.35">
      <c r="A79" s="67" t="str">
        <f>Budget!A117</f>
        <v>Janitorial Supplies and Services</v>
      </c>
      <c r="B79" s="82">
        <f>Budget!C117/12</f>
        <v>426.66666666666669</v>
      </c>
      <c r="C79" s="82">
        <f>B79</f>
        <v>426.66666666666669</v>
      </c>
      <c r="D79" s="82">
        <f t="shared" si="25"/>
        <v>426.66666666666669</v>
      </c>
      <c r="E79" s="82">
        <f t="shared" si="25"/>
        <v>426.66666666666669</v>
      </c>
      <c r="F79" s="82">
        <f t="shared" si="25"/>
        <v>426.66666666666669</v>
      </c>
      <c r="G79" s="82">
        <f t="shared" si="25"/>
        <v>426.66666666666669</v>
      </c>
      <c r="H79" s="82">
        <f t="shared" si="25"/>
        <v>426.66666666666669</v>
      </c>
      <c r="I79" s="82">
        <f t="shared" si="25"/>
        <v>426.66666666666669</v>
      </c>
      <c r="J79" s="82">
        <f t="shared" si="25"/>
        <v>426.66666666666669</v>
      </c>
      <c r="K79" s="82">
        <f t="shared" si="25"/>
        <v>426.66666666666669</v>
      </c>
      <c r="L79" s="82">
        <f t="shared" si="25"/>
        <v>426.66666666666669</v>
      </c>
      <c r="M79" s="82">
        <f t="shared" si="25"/>
        <v>426.66666666666669</v>
      </c>
      <c r="N79" s="61">
        <f t="shared" si="14"/>
        <v>5120</v>
      </c>
      <c r="O79" s="28" t="str">
        <f>IF((N79-Budget!C117)&lt;2,IF((N79-Budget!C117)&gt;-2,"Yes","No"),"No")</f>
        <v>Yes</v>
      </c>
    </row>
    <row r="80" spans="1:15" x14ac:dyDescent="0.35">
      <c r="A80" s="68" t="str">
        <f>Budget!A118</f>
        <v>Waste Disposal</v>
      </c>
      <c r="B80" s="81">
        <f>Budget!C118/12</f>
        <v>67</v>
      </c>
      <c r="C80" s="81">
        <f>B80</f>
        <v>67</v>
      </c>
      <c r="D80" s="81">
        <f t="shared" si="25"/>
        <v>67</v>
      </c>
      <c r="E80" s="81">
        <f t="shared" si="25"/>
        <v>67</v>
      </c>
      <c r="F80" s="81">
        <f t="shared" si="25"/>
        <v>67</v>
      </c>
      <c r="G80" s="81">
        <f t="shared" si="25"/>
        <v>67</v>
      </c>
      <c r="H80" s="81">
        <f t="shared" si="25"/>
        <v>67</v>
      </c>
      <c r="I80" s="81">
        <f t="shared" si="25"/>
        <v>67</v>
      </c>
      <c r="J80" s="81">
        <f t="shared" si="25"/>
        <v>67</v>
      </c>
      <c r="K80" s="81">
        <f t="shared" si="25"/>
        <v>67</v>
      </c>
      <c r="L80" s="81">
        <f t="shared" si="25"/>
        <v>67</v>
      </c>
      <c r="M80" s="81">
        <f t="shared" si="25"/>
        <v>67</v>
      </c>
      <c r="N80" s="59">
        <f t="shared" si="14"/>
        <v>804</v>
      </c>
      <c r="O80" s="29" t="str">
        <f>IF((N80-Budget!C118)&lt;2,IF((N80-Budget!C118)&gt;-2,"Yes","No"),"No")</f>
        <v>Yes</v>
      </c>
    </row>
    <row r="81" spans="1:15" x14ac:dyDescent="0.35">
      <c r="A81" s="67" t="str">
        <f>Budget!A119</f>
        <v>Marketing</v>
      </c>
      <c r="B81" s="82">
        <v>2500</v>
      </c>
      <c r="C81" s="82">
        <v>2000</v>
      </c>
      <c r="D81" s="82">
        <v>250</v>
      </c>
      <c r="E81" s="82">
        <v>250</v>
      </c>
      <c r="F81" s="82">
        <v>0</v>
      </c>
      <c r="G81" s="82">
        <v>250</v>
      </c>
      <c r="H81" s="82">
        <v>250</v>
      </c>
      <c r="I81" s="82">
        <v>0</v>
      </c>
      <c r="J81" s="82">
        <v>0</v>
      </c>
      <c r="K81" s="82">
        <v>0</v>
      </c>
      <c r="L81" s="82">
        <v>0</v>
      </c>
      <c r="M81" s="82">
        <v>1520</v>
      </c>
      <c r="N81" s="61">
        <f t="shared" si="14"/>
        <v>7020</v>
      </c>
      <c r="O81" s="28" t="str">
        <f>IF((N81-Budget!C119)&lt;2,IF((N81-Budget!C119)&gt;-2,"Yes","No"),"No")</f>
        <v>Yes</v>
      </c>
    </row>
    <row r="82" spans="1:15" ht="29" x14ac:dyDescent="0.35">
      <c r="A82" s="68" t="str">
        <f>Budget!A120</f>
        <v>EMO (Educational Mgt Organization)/CMO (Charter Mgt. Organization) Fees</v>
      </c>
      <c r="B82" s="81">
        <f>Budget!C120/12</f>
        <v>0</v>
      </c>
      <c r="C82" s="81">
        <f>B82</f>
        <v>0</v>
      </c>
      <c r="D82" s="81">
        <f t="shared" ref="D82:M82" si="26">C82</f>
        <v>0</v>
      </c>
      <c r="E82" s="81">
        <f t="shared" si="26"/>
        <v>0</v>
      </c>
      <c r="F82" s="81">
        <f t="shared" si="26"/>
        <v>0</v>
      </c>
      <c r="G82" s="81">
        <f t="shared" si="26"/>
        <v>0</v>
      </c>
      <c r="H82" s="81">
        <f t="shared" si="26"/>
        <v>0</v>
      </c>
      <c r="I82" s="81">
        <f t="shared" si="26"/>
        <v>0</v>
      </c>
      <c r="J82" s="81">
        <f t="shared" si="26"/>
        <v>0</v>
      </c>
      <c r="K82" s="81">
        <f t="shared" si="26"/>
        <v>0</v>
      </c>
      <c r="L82" s="81">
        <f t="shared" si="26"/>
        <v>0</v>
      </c>
      <c r="M82" s="81">
        <f t="shared" si="26"/>
        <v>0</v>
      </c>
      <c r="N82" s="59">
        <f t="shared" si="14"/>
        <v>0</v>
      </c>
      <c r="O82" s="29" t="str">
        <f>IF((N82-Budget!C120)&lt;2,IF((N82-Budget!C120)&gt;-2,"Yes","No"),"No")</f>
        <v>Yes</v>
      </c>
    </row>
    <row r="83" spans="1:15" x14ac:dyDescent="0.35">
      <c r="A83" s="69">
        <f>Budget!A121</f>
        <v>0</v>
      </c>
      <c r="B83" s="84"/>
      <c r="C83" s="84"/>
      <c r="D83" s="84"/>
      <c r="E83" s="84"/>
      <c r="F83" s="84"/>
      <c r="G83" s="84"/>
      <c r="H83" s="84"/>
      <c r="I83" s="84"/>
      <c r="J83" s="84"/>
      <c r="K83" s="84"/>
      <c r="L83" s="84"/>
      <c r="M83" s="84"/>
      <c r="N83" s="61">
        <f t="shared" si="14"/>
        <v>0</v>
      </c>
      <c r="O83" s="28" t="str">
        <f>IF((N83-Budget!C121)&lt;2,IF((N83-Budget!C121)&gt;-2,"Yes","No"),"No")</f>
        <v>Yes</v>
      </c>
    </row>
    <row r="84" spans="1:15" x14ac:dyDescent="0.35">
      <c r="A84" s="68">
        <f>Budget!A122</f>
        <v>0</v>
      </c>
      <c r="B84" s="81"/>
      <c r="C84" s="81"/>
      <c r="D84" s="81"/>
      <c r="E84" s="81"/>
      <c r="F84" s="81"/>
      <c r="G84" s="81"/>
      <c r="H84" s="81"/>
      <c r="I84" s="81"/>
      <c r="J84" s="81"/>
      <c r="K84" s="81"/>
      <c r="L84" s="81"/>
      <c r="M84" s="81"/>
      <c r="N84" s="59">
        <f t="shared" si="14"/>
        <v>0</v>
      </c>
      <c r="O84" s="29" t="str">
        <f>IF((N84-Budget!C122)&lt;2,IF((N84-Budget!C122)&gt;-2,"Yes","No"),"No")</f>
        <v>Yes</v>
      </c>
    </row>
    <row r="85" spans="1:15" ht="15.5" x14ac:dyDescent="0.35">
      <c r="A85" s="70" t="str">
        <f>Budget!A123</f>
        <v>Total Services and Supplies Expenses</v>
      </c>
      <c r="B85" s="72">
        <f t="shared" ref="B85:M85" si="27">SUM(B56:B84)</f>
        <v>8139.5000000000009</v>
      </c>
      <c r="C85" s="72">
        <f t="shared" si="27"/>
        <v>22130.454545454548</v>
      </c>
      <c r="D85" s="72">
        <f t="shared" si="27"/>
        <v>20896.954545454548</v>
      </c>
      <c r="E85" s="72">
        <f t="shared" si="27"/>
        <v>21859.454545454548</v>
      </c>
      <c r="F85" s="72">
        <f t="shared" si="27"/>
        <v>19929.954545454548</v>
      </c>
      <c r="G85" s="72">
        <f t="shared" si="27"/>
        <v>18270.454545454548</v>
      </c>
      <c r="H85" s="72">
        <f t="shared" si="27"/>
        <v>21914.454545454548</v>
      </c>
      <c r="I85" s="72">
        <f t="shared" si="27"/>
        <v>21847.954545454548</v>
      </c>
      <c r="J85" s="72">
        <f t="shared" si="27"/>
        <v>20236.954545454548</v>
      </c>
      <c r="K85" s="72">
        <f t="shared" si="27"/>
        <v>19694.454545454548</v>
      </c>
      <c r="L85" s="72">
        <f t="shared" si="27"/>
        <v>21224.454545454548</v>
      </c>
      <c r="M85" s="72">
        <f t="shared" si="27"/>
        <v>8130.954545454546</v>
      </c>
      <c r="N85" s="63">
        <f t="shared" ref="N85" si="28">SUM(B85:M85)</f>
        <v>224276.00000000009</v>
      </c>
      <c r="O85" s="28" t="str">
        <f>IF((N85-Budget!C123)&lt;3,IF((N85-Budget!C123)&gt;-3,"Yes","No"),"No")</f>
        <v>Yes</v>
      </c>
    </row>
    <row r="86" spans="1:15" ht="18.5" x14ac:dyDescent="0.45">
      <c r="A86" s="110" t="str">
        <f>Budget!A124</f>
        <v>Facilities</v>
      </c>
      <c r="B86" s="111"/>
      <c r="C86" s="111"/>
      <c r="D86" s="111"/>
      <c r="E86" s="111"/>
      <c r="F86" s="111"/>
      <c r="G86" s="111"/>
      <c r="H86" s="111"/>
      <c r="I86" s="111"/>
      <c r="J86" s="111"/>
      <c r="K86" s="111"/>
      <c r="L86" s="111"/>
      <c r="M86" s="111"/>
      <c r="N86" s="111"/>
      <c r="O86" s="112"/>
    </row>
    <row r="87" spans="1:15" x14ac:dyDescent="0.35">
      <c r="A87" s="68" t="str">
        <f>Budget!A125</f>
        <v>Rent/Lease/Mortgage</v>
      </c>
      <c r="B87" s="81">
        <f>Budget!C125/12</f>
        <v>7732.9949999999999</v>
      </c>
      <c r="C87" s="81">
        <f>B87</f>
        <v>7732.9949999999999</v>
      </c>
      <c r="D87" s="81">
        <f t="shared" ref="D87:M87" si="29">C87</f>
        <v>7732.9949999999999</v>
      </c>
      <c r="E87" s="81">
        <f t="shared" si="29"/>
        <v>7732.9949999999999</v>
      </c>
      <c r="F87" s="81">
        <f t="shared" si="29"/>
        <v>7732.9949999999999</v>
      </c>
      <c r="G87" s="81">
        <f t="shared" si="29"/>
        <v>7732.9949999999999</v>
      </c>
      <c r="H87" s="81">
        <f t="shared" si="29"/>
        <v>7732.9949999999999</v>
      </c>
      <c r="I87" s="81">
        <f t="shared" si="29"/>
        <v>7732.9949999999999</v>
      </c>
      <c r="J87" s="81">
        <f t="shared" si="29"/>
        <v>7732.9949999999999</v>
      </c>
      <c r="K87" s="81">
        <f t="shared" si="29"/>
        <v>7732.9949999999999</v>
      </c>
      <c r="L87" s="81">
        <f t="shared" si="29"/>
        <v>7732.9949999999999</v>
      </c>
      <c r="M87" s="81">
        <f t="shared" si="29"/>
        <v>7732.9949999999999</v>
      </c>
      <c r="N87" s="59">
        <f>ROUND(SUM(B87:M87),0)</f>
        <v>92796</v>
      </c>
      <c r="O87" s="29" t="str">
        <f>IF((N87-Budget!C125)&lt;2,IF((N87-Budget!C125)&gt;-2,"Yes","No"),"No")</f>
        <v>Yes</v>
      </c>
    </row>
    <row r="88" spans="1:15" x14ac:dyDescent="0.35">
      <c r="A88" s="67" t="str">
        <f>Budget!A126</f>
        <v>Grounds Maintenance</v>
      </c>
      <c r="B88" s="82">
        <v>0</v>
      </c>
      <c r="C88" s="82">
        <v>0</v>
      </c>
      <c r="D88" s="82">
        <v>0</v>
      </c>
      <c r="E88" s="82">
        <v>0</v>
      </c>
      <c r="F88" s="82">
        <v>0</v>
      </c>
      <c r="G88" s="82">
        <v>0</v>
      </c>
      <c r="H88" s="82">
        <v>0</v>
      </c>
      <c r="I88" s="82">
        <v>0</v>
      </c>
      <c r="J88" s="82">
        <v>0</v>
      </c>
      <c r="K88" s="82">
        <v>0</v>
      </c>
      <c r="L88" s="82">
        <v>0</v>
      </c>
      <c r="M88" s="82">
        <v>0</v>
      </c>
      <c r="N88" s="61">
        <f>ROUND(SUM(B88:M88),0)</f>
        <v>0</v>
      </c>
      <c r="O88" s="28" t="str">
        <f>IF((N88-Budget!C126)&lt;2,IF((N88-Budget!C126)&gt;-2,"Yes","No"),"No")</f>
        <v>Yes</v>
      </c>
    </row>
    <row r="89" spans="1:15" x14ac:dyDescent="0.35">
      <c r="A89" s="68" t="str">
        <f>Budget!A127</f>
        <v>Facility Maintenance and Repair</v>
      </c>
      <c r="B89" s="81">
        <v>1333.33</v>
      </c>
      <c r="C89" s="81">
        <v>1333.33</v>
      </c>
      <c r="D89" s="81">
        <v>1333.33</v>
      </c>
      <c r="E89" s="81">
        <v>1333.33</v>
      </c>
      <c r="F89" s="81">
        <v>1333.33</v>
      </c>
      <c r="G89" s="81">
        <v>1333.33</v>
      </c>
      <c r="H89" s="81">
        <v>1333.33</v>
      </c>
      <c r="I89" s="81">
        <v>1333.33</v>
      </c>
      <c r="J89" s="81">
        <v>1333.33</v>
      </c>
      <c r="K89" s="81">
        <v>1333.33</v>
      </c>
      <c r="L89" s="81">
        <v>1333.33</v>
      </c>
      <c r="M89" s="81">
        <v>1333.33</v>
      </c>
      <c r="N89" s="59">
        <f t="shared" ref="N89:N94" si="30">ROUND(SUM(B89:M89),0)</f>
        <v>16000</v>
      </c>
      <c r="O89" s="29" t="str">
        <f>IF((N89-Budget!C127)&lt;2,IF((N89-Budget!C127)&gt;-2,"Yes","No"),"No")</f>
        <v>Yes</v>
      </c>
    </row>
    <row r="90" spans="1:15" x14ac:dyDescent="0.35">
      <c r="A90" s="67" t="str">
        <f>Budget!A128</f>
        <v>Utilities</v>
      </c>
      <c r="B90" s="82">
        <v>2500</v>
      </c>
      <c r="C90" s="82">
        <v>2500</v>
      </c>
      <c r="D90" s="82">
        <v>2500</v>
      </c>
      <c r="E90" s="82">
        <v>2500</v>
      </c>
      <c r="F90" s="82">
        <v>2500</v>
      </c>
      <c r="G90" s="82">
        <v>2500</v>
      </c>
      <c r="H90" s="82">
        <v>2500</v>
      </c>
      <c r="I90" s="82">
        <v>2500</v>
      </c>
      <c r="J90" s="82">
        <v>2500</v>
      </c>
      <c r="K90" s="82">
        <v>2500</v>
      </c>
      <c r="L90" s="82">
        <v>2500</v>
      </c>
      <c r="M90" s="82">
        <v>2500</v>
      </c>
      <c r="N90" s="61">
        <f t="shared" si="30"/>
        <v>30000</v>
      </c>
      <c r="O90" s="28" t="str">
        <f>IF((N90-Budget!C128)&lt;2,IF((N90-Budget!C128)&gt;-2,"Yes","No"),"No")</f>
        <v>Yes</v>
      </c>
    </row>
    <row r="91" spans="1:15" ht="29" x14ac:dyDescent="0.35">
      <c r="A91" s="68" t="str">
        <f>Budget!A129</f>
        <v>Fire and Occupational Safety and Compliance</v>
      </c>
      <c r="B91" s="81">
        <v>0</v>
      </c>
      <c r="C91" s="81">
        <v>0</v>
      </c>
      <c r="D91" s="81">
        <v>0</v>
      </c>
      <c r="E91" s="81">
        <v>0</v>
      </c>
      <c r="F91" s="81">
        <v>0</v>
      </c>
      <c r="G91" s="81">
        <v>0</v>
      </c>
      <c r="H91" s="81">
        <v>0</v>
      </c>
      <c r="I91" s="81">
        <v>0</v>
      </c>
      <c r="J91" s="81">
        <v>0</v>
      </c>
      <c r="K91" s="81">
        <v>0</v>
      </c>
      <c r="L91" s="81">
        <v>0</v>
      </c>
      <c r="M91" s="81">
        <v>0</v>
      </c>
      <c r="N91" s="59">
        <f t="shared" si="30"/>
        <v>0</v>
      </c>
      <c r="O91" s="29" t="str">
        <f>IF((N91-Budget!C129)&lt;2,IF((N91-Budget!C129)&gt;-2,"Yes","No"),"No")</f>
        <v>Yes</v>
      </c>
    </row>
    <row r="92" spans="1:15" x14ac:dyDescent="0.35">
      <c r="A92" s="67">
        <f>Budget!A130</f>
        <v>0</v>
      </c>
      <c r="B92" s="82"/>
      <c r="C92" s="82"/>
      <c r="D92" s="82"/>
      <c r="E92" s="82"/>
      <c r="F92" s="82"/>
      <c r="G92" s="82"/>
      <c r="H92" s="82"/>
      <c r="I92" s="82"/>
      <c r="J92" s="82"/>
      <c r="K92" s="82"/>
      <c r="L92" s="82"/>
      <c r="M92" s="82"/>
      <c r="N92" s="61">
        <f t="shared" si="30"/>
        <v>0</v>
      </c>
      <c r="O92" s="28" t="str">
        <f>IF((N92-Budget!C130)&lt;2,IF((N92-Budget!C130)&gt;-2,"Yes","No"),"No")</f>
        <v>Yes</v>
      </c>
    </row>
    <row r="93" spans="1:15" x14ac:dyDescent="0.35">
      <c r="A93" s="31">
        <f>Budget!A131</f>
        <v>0</v>
      </c>
      <c r="B93" s="81"/>
      <c r="C93" s="81"/>
      <c r="D93" s="81"/>
      <c r="E93" s="81"/>
      <c r="F93" s="81"/>
      <c r="G93" s="81"/>
      <c r="H93" s="81"/>
      <c r="I93" s="81"/>
      <c r="J93" s="81"/>
      <c r="K93" s="81"/>
      <c r="L93" s="81"/>
      <c r="M93" s="81"/>
      <c r="N93" s="59">
        <f t="shared" si="30"/>
        <v>0</v>
      </c>
      <c r="O93" s="29" t="str">
        <f>IF((N93-Budget!C131)&lt;2,IF((N93-Budget!C131)&gt;-2,"Yes","No"),"No")</f>
        <v>Yes</v>
      </c>
    </row>
    <row r="94" spans="1:15" ht="15.5" x14ac:dyDescent="0.35">
      <c r="A94" s="70" t="str">
        <f>Budget!A132</f>
        <v>Total Facilities Expenses</v>
      </c>
      <c r="B94" s="63">
        <f t="shared" ref="B94:M94" si="31">SUM(B87:B93)</f>
        <v>11566.325000000001</v>
      </c>
      <c r="C94" s="63">
        <f t="shared" si="31"/>
        <v>11566.325000000001</v>
      </c>
      <c r="D94" s="63">
        <f t="shared" si="31"/>
        <v>11566.325000000001</v>
      </c>
      <c r="E94" s="63">
        <f t="shared" si="31"/>
        <v>11566.325000000001</v>
      </c>
      <c r="F94" s="63">
        <f t="shared" si="31"/>
        <v>11566.325000000001</v>
      </c>
      <c r="G94" s="63">
        <f t="shared" si="31"/>
        <v>11566.325000000001</v>
      </c>
      <c r="H94" s="63">
        <f t="shared" si="31"/>
        <v>11566.325000000001</v>
      </c>
      <c r="I94" s="63">
        <f t="shared" si="31"/>
        <v>11566.325000000001</v>
      </c>
      <c r="J94" s="63">
        <f t="shared" si="31"/>
        <v>11566.325000000001</v>
      </c>
      <c r="K94" s="63">
        <f t="shared" si="31"/>
        <v>11566.325000000001</v>
      </c>
      <c r="L94" s="63">
        <f t="shared" si="31"/>
        <v>11566.325000000001</v>
      </c>
      <c r="M94" s="63">
        <f t="shared" si="31"/>
        <v>11566.325000000001</v>
      </c>
      <c r="N94" s="61">
        <f t="shared" si="30"/>
        <v>138796</v>
      </c>
      <c r="O94" s="28" t="str">
        <f>IF((N94-Budget!C132)&lt;3,IF((N94-Budget!C132)&gt;-3,"Yes","No"),"No")</f>
        <v>Yes</v>
      </c>
    </row>
    <row r="95" spans="1:15" ht="18.5" x14ac:dyDescent="0.45">
      <c r="A95" s="73" t="s">
        <v>194</v>
      </c>
      <c r="B95" s="74">
        <f t="shared" ref="B95:M95" si="32">SUM(B94,B85,B54,B37)</f>
        <v>77772.516666666663</v>
      </c>
      <c r="C95" s="74">
        <f t="shared" si="32"/>
        <v>101265.2893939394</v>
      </c>
      <c r="D95" s="74">
        <f t="shared" si="32"/>
        <v>97331.789393939398</v>
      </c>
      <c r="E95" s="74">
        <f t="shared" si="32"/>
        <v>93974.289393939398</v>
      </c>
      <c r="F95" s="74">
        <f t="shared" si="32"/>
        <v>92969.789393939398</v>
      </c>
      <c r="G95" s="74">
        <f t="shared" si="32"/>
        <v>91310.289393939398</v>
      </c>
      <c r="H95" s="74">
        <f t="shared" si="32"/>
        <v>94464.289393939398</v>
      </c>
      <c r="I95" s="74">
        <f t="shared" si="32"/>
        <v>94247.789393939398</v>
      </c>
      <c r="J95" s="74">
        <f t="shared" si="32"/>
        <v>92061.789393939398</v>
      </c>
      <c r="K95" s="74">
        <f t="shared" si="32"/>
        <v>92831.289393939398</v>
      </c>
      <c r="L95" s="74">
        <f t="shared" si="32"/>
        <v>93951.289393939398</v>
      </c>
      <c r="M95" s="74">
        <f t="shared" si="32"/>
        <v>80705.789393939398</v>
      </c>
      <c r="N95" s="74">
        <f>ROUND(SUM(B95:M95),2)</f>
        <v>1102886.2</v>
      </c>
      <c r="O95" s="28" t="str">
        <f>IF((N95-Budget!C133)&lt;3,IF((N95-Budget!C133)&gt;-3,"Yes","No"),"No")</f>
        <v>Yes</v>
      </c>
    </row>
    <row r="96" spans="1:15" ht="37" x14ac:dyDescent="0.45">
      <c r="A96" s="51" t="s">
        <v>121</v>
      </c>
      <c r="B96" s="77">
        <f>B16-B95</f>
        <v>14858.233333333337</v>
      </c>
      <c r="C96" s="77">
        <f t="shared" ref="C96:M96" si="33">C16-C95</f>
        <v>-8634.539393939398</v>
      </c>
      <c r="D96" s="77">
        <f t="shared" si="33"/>
        <v>-4701.039393939398</v>
      </c>
      <c r="E96" s="77">
        <f t="shared" si="33"/>
        <v>-1343.539393939398</v>
      </c>
      <c r="F96" s="77">
        <f t="shared" si="33"/>
        <v>-339.039393939398</v>
      </c>
      <c r="G96" s="77">
        <f t="shared" si="33"/>
        <v>1320.460606060602</v>
      </c>
      <c r="H96" s="77">
        <f t="shared" si="33"/>
        <v>-1833.539393939398</v>
      </c>
      <c r="I96" s="77">
        <f t="shared" si="33"/>
        <v>-1617.039393939398</v>
      </c>
      <c r="J96" s="77">
        <f t="shared" si="33"/>
        <v>568.960606060602</v>
      </c>
      <c r="K96" s="77">
        <f t="shared" si="33"/>
        <v>-200.539393939398</v>
      </c>
      <c r="L96" s="77">
        <f t="shared" si="33"/>
        <v>-1320.539393939398</v>
      </c>
      <c r="M96" s="77">
        <f t="shared" si="33"/>
        <v>11924.960606060602</v>
      </c>
      <c r="N96" s="77">
        <f>SUM(B96:M96)</f>
        <v>8682.7999999999593</v>
      </c>
      <c r="O96" s="32"/>
    </row>
    <row r="97" spans="1:15" ht="39" customHeight="1" x14ac:dyDescent="0.45">
      <c r="A97" s="51" t="s">
        <v>255</v>
      </c>
      <c r="B97" s="129"/>
      <c r="C97" s="129"/>
      <c r="D97" s="129"/>
      <c r="E97" s="129">
        <v>0</v>
      </c>
      <c r="F97" s="129"/>
      <c r="G97" s="129"/>
      <c r="H97" s="129"/>
      <c r="I97" s="129"/>
      <c r="J97" s="129"/>
      <c r="K97" s="129"/>
      <c r="L97" s="129"/>
      <c r="M97" s="129"/>
      <c r="N97" s="77">
        <f>SUM(B97:M97)</f>
        <v>0</v>
      </c>
      <c r="O97" s="32" t="str">
        <f>IF((N97-Budget!C134)&lt;2,IF((N97-Budget!C134)&gt;-2,"Yes","No"),"No")</f>
        <v>Yes</v>
      </c>
    </row>
    <row r="98" spans="1:15" ht="37" x14ac:dyDescent="0.45">
      <c r="A98" s="51" t="s">
        <v>262</v>
      </c>
      <c r="B98" s="129"/>
      <c r="C98" s="129"/>
      <c r="D98" s="129"/>
      <c r="E98" s="129"/>
      <c r="F98" s="129"/>
      <c r="G98" s="129"/>
      <c r="H98" s="129"/>
      <c r="I98" s="129"/>
      <c r="J98" s="129"/>
      <c r="K98" s="129"/>
      <c r="L98" s="129"/>
      <c r="M98" s="129"/>
      <c r="N98" s="129">
        <f>SUM(B98:M98)</f>
        <v>0</v>
      </c>
      <c r="O98" s="32" t="str">
        <f>IF((N98-Budget!C135)&lt;2,IF((N98-Budget!C135)&gt;-2,"Yes","No"),"No")</f>
        <v>Yes</v>
      </c>
    </row>
    <row r="99" spans="1:15" ht="42" x14ac:dyDescent="0.5">
      <c r="A99" s="76" t="s">
        <v>122</v>
      </c>
      <c r="B99" s="77">
        <f>B96+B4+B98-B97</f>
        <v>18258.233333333337</v>
      </c>
      <c r="C99" s="77">
        <f t="shared" ref="C99:M99" si="34">C96+C4+C98-C97</f>
        <v>9623.6939393939392</v>
      </c>
      <c r="D99" s="77">
        <f t="shared" si="34"/>
        <v>4922.6545454545412</v>
      </c>
      <c r="E99" s="77">
        <f t="shared" si="34"/>
        <v>3579.1151515151432</v>
      </c>
      <c r="F99" s="77">
        <f t="shared" si="34"/>
        <v>3240.0757575757452</v>
      </c>
      <c r="G99" s="77">
        <f t="shared" si="34"/>
        <v>4560.5363636363472</v>
      </c>
      <c r="H99" s="77">
        <f t="shared" si="34"/>
        <v>2726.9969696969492</v>
      </c>
      <c r="I99" s="77">
        <f t="shared" si="34"/>
        <v>1109.9575757575512</v>
      </c>
      <c r="J99" s="77">
        <f t="shared" si="34"/>
        <v>1678.9181818181532</v>
      </c>
      <c r="K99" s="77">
        <f t="shared" si="34"/>
        <v>1478.3787878787552</v>
      </c>
      <c r="L99" s="77">
        <f t="shared" si="34"/>
        <v>157.83939393935725</v>
      </c>
      <c r="M99" s="77">
        <f t="shared" si="34"/>
        <v>12082.799999999959</v>
      </c>
      <c r="N99" s="77">
        <f>N96+B4+N98-N97</f>
        <v>12082.799999999959</v>
      </c>
      <c r="O99" s="33"/>
    </row>
  </sheetData>
  <sheetProtection algorithmName="SHA-512" hashValue="KeZQpk7HxYfuiPTZ87TCk9EdkfDAbvLfnYwrq4Ge4vW5+R57znHH5GELrIGNHCLGWKwbDkHqXq/IILXiZJDFmg==" saltValue="qUQNcpxRNPj1oqu9oPGjOA==" spinCount="100000" sheet="1" formatColumns="0" formatRows="0" selectLockedCells="1"/>
  <mergeCells count="2">
    <mergeCell ref="O2:O3"/>
    <mergeCell ref="B1:O1"/>
  </mergeCells>
  <conditionalFormatting sqref="O6:O16 O57:O84">
    <cfRule type="containsText" dxfId="46" priority="42" operator="containsText" text="No">
      <formula>NOT(ISERROR(SEARCH("No",O6)))</formula>
    </cfRule>
    <cfRule type="containsText" dxfId="45" priority="43" operator="containsText" text="No">
      <formula>NOT(ISERROR(SEARCH("No",O6)))</formula>
    </cfRule>
  </conditionalFormatting>
  <conditionalFormatting sqref="O19:O37">
    <cfRule type="containsText" dxfId="44" priority="24" operator="containsText" text="No">
      <formula>NOT(ISERROR(SEARCH("No",O19)))</formula>
    </cfRule>
    <cfRule type="containsText" dxfId="43" priority="25" operator="containsText" text="No">
      <formula>NOT(ISERROR(SEARCH("No",O19)))</formula>
    </cfRule>
  </conditionalFormatting>
  <conditionalFormatting sqref="O39">
    <cfRule type="containsText" dxfId="42" priority="22" operator="containsText" text="No">
      <formula>NOT(ISERROR(SEARCH("No",O39)))</formula>
    </cfRule>
    <cfRule type="containsText" dxfId="41" priority="23" operator="containsText" text="No">
      <formula>NOT(ISERROR(SEARCH("No",O39)))</formula>
    </cfRule>
  </conditionalFormatting>
  <conditionalFormatting sqref="O40:O54">
    <cfRule type="containsText" dxfId="40" priority="20" operator="containsText" text="No">
      <formula>NOT(ISERROR(SEARCH("No",O40)))</formula>
    </cfRule>
    <cfRule type="containsText" dxfId="39" priority="21" operator="containsText" text="No">
      <formula>NOT(ISERROR(SEARCH("No",O40)))</formula>
    </cfRule>
  </conditionalFormatting>
  <conditionalFormatting sqref="O56">
    <cfRule type="containsText" dxfId="38" priority="18" operator="containsText" text="No">
      <formula>NOT(ISERROR(SEARCH("No",O56)))</formula>
    </cfRule>
    <cfRule type="containsText" dxfId="37" priority="19" operator="containsText" text="No">
      <formula>NOT(ISERROR(SEARCH("No",O56)))</formula>
    </cfRule>
  </conditionalFormatting>
  <conditionalFormatting sqref="O85">
    <cfRule type="containsText" dxfId="36" priority="14" operator="containsText" text="No">
      <formula>NOT(ISERROR(SEARCH("No",O85)))</formula>
    </cfRule>
    <cfRule type="containsText" dxfId="35" priority="15" operator="containsText" text="No">
      <formula>NOT(ISERROR(SEARCH("No",O85)))</formula>
    </cfRule>
  </conditionalFormatting>
  <conditionalFormatting sqref="O87">
    <cfRule type="containsText" dxfId="34" priority="12" operator="containsText" text="No">
      <formula>NOT(ISERROR(SEARCH("No",O87)))</formula>
    </cfRule>
    <cfRule type="containsText" dxfId="33" priority="13" operator="containsText" text="No">
      <formula>NOT(ISERROR(SEARCH("No",O87)))</formula>
    </cfRule>
  </conditionalFormatting>
  <conditionalFormatting sqref="O88:O94">
    <cfRule type="containsText" dxfId="32" priority="10" operator="containsText" text="No">
      <formula>NOT(ISERROR(SEARCH("No",O88)))</formula>
    </cfRule>
    <cfRule type="containsText" dxfId="31" priority="11" operator="containsText" text="No">
      <formula>NOT(ISERROR(SEARCH("No",O88)))</formula>
    </cfRule>
  </conditionalFormatting>
  <conditionalFormatting sqref="O95">
    <cfRule type="containsText" dxfId="30" priority="8" operator="containsText" text="No">
      <formula>NOT(ISERROR(SEARCH("No",O95)))</formula>
    </cfRule>
    <cfRule type="containsText" dxfId="29" priority="9" operator="containsText" text="No">
      <formula>NOT(ISERROR(SEARCH("No",O95)))</formula>
    </cfRule>
  </conditionalFormatting>
  <conditionalFormatting sqref="O96:O97">
    <cfRule type="containsText" dxfId="28" priority="4" operator="containsText" text="No">
      <formula>NOT(ISERROR(SEARCH("No",O96)))</formula>
    </cfRule>
    <cfRule type="containsText" dxfId="27" priority="5" operator="containsText" text="No">
      <formula>NOT(ISERROR(SEARCH("No",O96)))</formula>
    </cfRule>
  </conditionalFormatting>
  <conditionalFormatting sqref="B99:N99">
    <cfRule type="cellIs" dxfId="26" priority="3" operator="lessThan">
      <formula>0</formula>
    </cfRule>
  </conditionalFormatting>
  <conditionalFormatting sqref="O98">
    <cfRule type="containsText" dxfId="25" priority="1" operator="containsText" text="No">
      <formula>NOT(ISERROR(SEARCH("No",O98)))</formula>
    </cfRule>
    <cfRule type="containsText" dxfId="24" priority="2" operator="containsText" text="No">
      <formula>NOT(ISERROR(SEARCH("No",O98)))</formula>
    </cfRule>
  </conditionalFormatting>
  <dataValidations count="1">
    <dataValidation type="whole" allowBlank="1" showInputMessage="1" showErrorMessage="1" error="You must enter a positive whole dollar amount.  Zero is also acceptable.  " sqref="B98:M98" xr:uid="{982CE1E2-424D-4A50-8951-E619BE901FC4}">
      <formula1>0</formula1>
      <formula2>300000000</formula2>
    </dataValidation>
  </dataValidations>
  <printOptions horizontalCentered="1"/>
  <pageMargins left="0" right="0" top="0.5" bottom="0.5" header="0" footer="0"/>
  <pageSetup scale="55" fitToHeight="1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8874B-ADA9-46D0-B7C9-E66472F616C2}">
  <dimension ref="A1:O99"/>
  <sheetViews>
    <sheetView zoomScale="82" zoomScaleNormal="80" workbookViewId="0">
      <pane xSplit="1" ySplit="2" topLeftCell="B3" activePane="bottomRight" state="frozen"/>
      <selection pane="topRight" activeCell="B1" sqref="B1"/>
      <selection pane="bottomLeft" activeCell="A3" sqref="A3"/>
      <selection pane="bottomRight" activeCell="B63" sqref="B63"/>
    </sheetView>
  </sheetViews>
  <sheetFormatPr defaultColWidth="8.81640625" defaultRowHeight="14.5" x14ac:dyDescent="0.35"/>
  <cols>
    <col min="1" max="1" width="38.81640625" customWidth="1"/>
    <col min="2" max="13" width="15.81640625" customWidth="1"/>
    <col min="14" max="14" width="16.81640625" customWidth="1"/>
    <col min="15" max="15" width="19.81640625" customWidth="1"/>
  </cols>
  <sheetData>
    <row r="1" spans="1:15" ht="21" x14ac:dyDescent="0.45">
      <c r="A1" s="171" t="str">
        <f>IF(ISBLANK(+Budget!A2),"",Budget!A2)</f>
        <v>100% Budget</v>
      </c>
      <c r="B1" s="219" t="s">
        <v>94</v>
      </c>
      <c r="C1" s="219"/>
      <c r="D1" s="219"/>
      <c r="E1" s="219"/>
      <c r="F1" s="219"/>
      <c r="G1" s="219"/>
      <c r="H1" s="219"/>
      <c r="I1" s="219"/>
      <c r="J1" s="219"/>
      <c r="K1" s="219"/>
      <c r="L1" s="219"/>
      <c r="M1" s="219"/>
      <c r="N1" s="219"/>
      <c r="O1" s="219"/>
    </row>
    <row r="2" spans="1:15" ht="52.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Balances'!D5</f>
        <v>12083</v>
      </c>
      <c r="C4" s="85">
        <f>B99</f>
        <v>59343.438083333356</v>
      </c>
      <c r="D4" s="85">
        <f t="shared" ref="D4:M4" si="0">C99</f>
        <v>64403.194348484903</v>
      </c>
      <c r="E4" s="85">
        <f t="shared" si="0"/>
        <v>85980.450613636451</v>
      </c>
      <c r="F4" s="85">
        <f t="shared" si="0"/>
        <v>120082.206878788</v>
      </c>
      <c r="G4" s="85">
        <f t="shared" si="0"/>
        <v>154761.46314393956</v>
      </c>
      <c r="H4" s="85">
        <f t="shared" si="0"/>
        <v>189150.21940909111</v>
      </c>
      <c r="I4" s="85">
        <f t="shared" si="0"/>
        <v>215088.97567424265</v>
      </c>
      <c r="J4" s="85">
        <f t="shared" si="0"/>
        <v>248498.2319393942</v>
      </c>
      <c r="K4" s="85">
        <f t="shared" si="0"/>
        <v>281774.98820454575</v>
      </c>
      <c r="L4" s="85">
        <f t="shared" si="0"/>
        <v>314761.7444696973</v>
      </c>
      <c r="M4" s="85">
        <f t="shared" si="0"/>
        <v>345588.00073484884</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Budget!$D$43/12</f>
        <v>173258.5</v>
      </c>
      <c r="C6" s="30">
        <f>Budget!$D$43/12</f>
        <v>173258.5</v>
      </c>
      <c r="D6" s="30">
        <f>Budget!$D$43/12</f>
        <v>173258.5</v>
      </c>
      <c r="E6" s="30">
        <f>Budget!$D$43/12</f>
        <v>173258.5</v>
      </c>
      <c r="F6" s="30">
        <f>Budget!$D$43/12</f>
        <v>173258.5</v>
      </c>
      <c r="G6" s="30">
        <f>Budget!$D$43/12</f>
        <v>173258.5</v>
      </c>
      <c r="H6" s="30">
        <f>Budget!$D$43/12</f>
        <v>173258.5</v>
      </c>
      <c r="I6" s="30">
        <f>Budget!$D$43/12</f>
        <v>173258.5</v>
      </c>
      <c r="J6" s="30">
        <f>Budget!$D$43/12</f>
        <v>173258.5</v>
      </c>
      <c r="K6" s="30">
        <f>Budget!$D$43/12</f>
        <v>173258.5</v>
      </c>
      <c r="L6" s="30">
        <f>Budget!$D$43/12</f>
        <v>173258.5</v>
      </c>
      <c r="M6" s="30">
        <f>Budget!$D$43/12</f>
        <v>173258.5</v>
      </c>
      <c r="N6" s="59">
        <f>ROUND(SUM(B6:M6),0)</f>
        <v>2079102</v>
      </c>
      <c r="O6" s="29" t="str">
        <f>IF((N6-Budget!D43)&lt;2,IF((N6-Budget!D43)&gt;-2,"Yes","No"),"No")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IF((N7-Budget!D45)&lt;2,IF((N7-Budget!D45)&gt;-2,"Yes","No"),"No")</f>
        <v>Yes</v>
      </c>
    </row>
    <row r="8" spans="1:15" x14ac:dyDescent="0.35">
      <c r="A8" s="68">
        <f>Budget!A46</f>
        <v>0</v>
      </c>
      <c r="B8" s="81"/>
      <c r="C8" s="81"/>
      <c r="D8" s="81"/>
      <c r="E8" s="81"/>
      <c r="F8" s="81"/>
      <c r="G8" s="81"/>
      <c r="H8" s="81"/>
      <c r="I8" s="81"/>
      <c r="J8" s="81"/>
      <c r="K8" s="81"/>
      <c r="L8" s="81"/>
      <c r="M8" s="81"/>
      <c r="N8" s="59">
        <f t="shared" si="1"/>
        <v>0</v>
      </c>
      <c r="O8" s="29" t="str">
        <f>IF((N8-Budget!D46)&lt;2,IF((N8-Budget!D46)&gt;-2,"Yes","No"),"No")</f>
        <v>Yes</v>
      </c>
    </row>
    <row r="9" spans="1:15" x14ac:dyDescent="0.35">
      <c r="A9" s="60" t="str">
        <f>Budget!A47</f>
        <v>Donations</v>
      </c>
      <c r="B9" s="80"/>
      <c r="C9" s="80"/>
      <c r="D9" s="80"/>
      <c r="E9" s="80"/>
      <c r="F9" s="80"/>
      <c r="G9" s="80"/>
      <c r="H9" s="80"/>
      <c r="I9" s="80"/>
      <c r="J9" s="80"/>
      <c r="K9" s="80"/>
      <c r="L9" s="80"/>
      <c r="M9" s="80"/>
      <c r="N9" s="61">
        <f t="shared" si="1"/>
        <v>0</v>
      </c>
      <c r="O9" s="28" t="str">
        <f>IF((N9-Budget!D47)&lt;2,IF((N9-Budget!D47)&gt;-2,"Yes","No"),"No")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IF((N10-Budget!D48)&lt;2,IF((N10-Budget!D48)&gt;-2,"Yes","No"),"No")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IF((N11-Budget!D49)&lt;2,IF((N11-Budget!D49)&gt;-2,"Yes","No"),"No")</f>
        <v>Yes</v>
      </c>
    </row>
    <row r="12" spans="1:15" x14ac:dyDescent="0.35">
      <c r="A12" s="68" t="str">
        <f>Budget!A50</f>
        <v>Grants</v>
      </c>
      <c r="B12" s="81"/>
      <c r="C12" s="81"/>
      <c r="D12" s="81"/>
      <c r="E12" s="81"/>
      <c r="F12" s="81"/>
      <c r="G12" s="81"/>
      <c r="H12" s="81"/>
      <c r="I12" s="81"/>
      <c r="J12" s="81"/>
      <c r="K12" s="81"/>
      <c r="L12" s="81"/>
      <c r="M12" s="81"/>
      <c r="N12" s="59">
        <f t="shared" si="1"/>
        <v>0</v>
      </c>
      <c r="O12" s="29" t="str">
        <f>IF((N12-Budget!D50)&lt;2,IF((N12-Budget!D50)&gt;-2,"Yes","No"),"No")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IF((N13-Budget!D51)&lt;2,IF((N13-Budget!D51)&gt;-2,"Yes","No"),"No")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IF((N14-Budget!D52)&lt;2,IF((N14-Budget!D52)&gt;-2,"Yes","No"),"No")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IF((N15-Budget!D53)&lt;2,IF((N15-Budget!D53)&gt;-2,"Yes","No"),"No")</f>
        <v>Yes</v>
      </c>
    </row>
    <row r="16" spans="1:15" ht="18.5" x14ac:dyDescent="0.45">
      <c r="A16" s="62" t="s">
        <v>195</v>
      </c>
      <c r="B16" s="74">
        <f t="shared" ref="B16:M16" si="2">SUM(B6:B15)</f>
        <v>173258.5</v>
      </c>
      <c r="C16" s="74">
        <f t="shared" si="2"/>
        <v>173258.5</v>
      </c>
      <c r="D16" s="74">
        <f t="shared" si="2"/>
        <v>173258.5</v>
      </c>
      <c r="E16" s="74">
        <f t="shared" si="2"/>
        <v>173258.5</v>
      </c>
      <c r="F16" s="74">
        <f t="shared" si="2"/>
        <v>173258.5</v>
      </c>
      <c r="G16" s="74">
        <f t="shared" si="2"/>
        <v>173258.5</v>
      </c>
      <c r="H16" s="74">
        <f t="shared" si="2"/>
        <v>173258.5</v>
      </c>
      <c r="I16" s="74">
        <f t="shared" si="2"/>
        <v>173258.5</v>
      </c>
      <c r="J16" s="74">
        <f t="shared" si="2"/>
        <v>173258.5</v>
      </c>
      <c r="K16" s="74">
        <f t="shared" si="2"/>
        <v>173258.5</v>
      </c>
      <c r="L16" s="74">
        <f t="shared" si="2"/>
        <v>173258.5</v>
      </c>
      <c r="M16" s="74">
        <f t="shared" si="2"/>
        <v>173258.5</v>
      </c>
      <c r="N16" s="74">
        <f>ROUND(SUM(B16:M16),2)</f>
        <v>2079102</v>
      </c>
      <c r="O16" s="28" t="str">
        <f>IF((N16-Budget!D54)&lt;2,IF((N16-Budget!D54)&gt;-2,"Yes","No"),"No")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72" t="str">
        <f>Budget!A56</f>
        <v>Personnel</v>
      </c>
      <c r="B18" s="173"/>
      <c r="C18" s="173"/>
      <c r="D18" s="173"/>
      <c r="E18" s="173"/>
      <c r="F18" s="173"/>
      <c r="G18" s="173"/>
      <c r="H18" s="173"/>
      <c r="I18" s="173"/>
      <c r="J18" s="173"/>
      <c r="K18" s="173"/>
      <c r="L18" s="173"/>
      <c r="M18" s="173"/>
      <c r="N18" s="173"/>
      <c r="O18" s="174"/>
    </row>
    <row r="19" spans="1:15" x14ac:dyDescent="0.35">
      <c r="A19" s="67" t="str">
        <f>Budget!A57</f>
        <v>Principal</v>
      </c>
      <c r="B19" s="82">
        <f>Budget!D57/12</f>
        <v>7431.2499999999991</v>
      </c>
      <c r="C19" s="82">
        <f t="shared" ref="C19:C35" si="3">B19</f>
        <v>7431.2499999999991</v>
      </c>
      <c r="D19" s="82">
        <f t="shared" ref="D19:M19" si="4">C19</f>
        <v>7431.2499999999991</v>
      </c>
      <c r="E19" s="82">
        <f t="shared" si="4"/>
        <v>7431.2499999999991</v>
      </c>
      <c r="F19" s="82">
        <f t="shared" si="4"/>
        <v>7431.2499999999991</v>
      </c>
      <c r="G19" s="82">
        <f t="shared" si="4"/>
        <v>7431.2499999999991</v>
      </c>
      <c r="H19" s="82">
        <f t="shared" si="4"/>
        <v>7431.2499999999991</v>
      </c>
      <c r="I19" s="82">
        <f t="shared" si="4"/>
        <v>7431.2499999999991</v>
      </c>
      <c r="J19" s="82">
        <f t="shared" si="4"/>
        <v>7431.2499999999991</v>
      </c>
      <c r="K19" s="82">
        <f t="shared" si="4"/>
        <v>7431.2499999999991</v>
      </c>
      <c r="L19" s="82">
        <f t="shared" si="4"/>
        <v>7431.2499999999991</v>
      </c>
      <c r="M19" s="82">
        <f t="shared" si="4"/>
        <v>7431.2499999999991</v>
      </c>
      <c r="N19" s="61">
        <f t="shared" ref="N19:N53" si="5">ROUND(SUM(B19:M19),0)</f>
        <v>89175</v>
      </c>
      <c r="O19" s="28" t="str">
        <f>IF((N19-Budget!D57)&lt;2,IF((N19-Budget!D57)&gt;-2,"Yes","No"),"No")</f>
        <v>Yes</v>
      </c>
    </row>
    <row r="20" spans="1:15" ht="29" x14ac:dyDescent="0.35">
      <c r="A20" s="68" t="str">
        <f>Budget!A58</f>
        <v>Other Administrators (Asst. Principal, Curriculum Director…)</v>
      </c>
      <c r="B20" s="83">
        <f>Budget!D58/12</f>
        <v>3004.1666666666665</v>
      </c>
      <c r="C20" s="83">
        <f t="shared" si="3"/>
        <v>3004.1666666666665</v>
      </c>
      <c r="D20" s="83">
        <f t="shared" ref="D20:M20" si="6">C20</f>
        <v>3004.1666666666665</v>
      </c>
      <c r="E20" s="83">
        <f t="shared" si="6"/>
        <v>3004.1666666666665</v>
      </c>
      <c r="F20" s="83">
        <f t="shared" si="6"/>
        <v>3004.1666666666665</v>
      </c>
      <c r="G20" s="83">
        <f t="shared" si="6"/>
        <v>3004.1666666666665</v>
      </c>
      <c r="H20" s="83">
        <f t="shared" si="6"/>
        <v>3004.1666666666665</v>
      </c>
      <c r="I20" s="83">
        <f t="shared" si="6"/>
        <v>3004.1666666666665</v>
      </c>
      <c r="J20" s="83">
        <f t="shared" si="6"/>
        <v>3004.1666666666665</v>
      </c>
      <c r="K20" s="83">
        <f t="shared" si="6"/>
        <v>3004.1666666666665</v>
      </c>
      <c r="L20" s="83">
        <f t="shared" si="6"/>
        <v>3004.1666666666665</v>
      </c>
      <c r="M20" s="83">
        <f t="shared" si="6"/>
        <v>3004.1666666666665</v>
      </c>
      <c r="N20" s="59">
        <f t="shared" si="5"/>
        <v>36050</v>
      </c>
      <c r="O20" s="29" t="str">
        <f>IF((N20-Budget!D58)&lt;2,IF((N20-Budget!D58)&gt;-2,"Yes","No"),"No")</f>
        <v>Yes</v>
      </c>
    </row>
    <row r="21" spans="1:15" x14ac:dyDescent="0.35">
      <c r="A21" s="67" t="str">
        <f>Budget!A59</f>
        <v>Teachers</v>
      </c>
      <c r="B21" s="82">
        <f>Budget!D59/12</f>
        <v>37766.666666666664</v>
      </c>
      <c r="C21" s="82">
        <f t="shared" si="3"/>
        <v>37766.666666666664</v>
      </c>
      <c r="D21" s="82">
        <f t="shared" ref="D21:M21" si="7">C21</f>
        <v>37766.666666666664</v>
      </c>
      <c r="E21" s="82">
        <f t="shared" si="7"/>
        <v>37766.666666666664</v>
      </c>
      <c r="F21" s="82">
        <f t="shared" si="7"/>
        <v>37766.666666666664</v>
      </c>
      <c r="G21" s="82">
        <f t="shared" si="7"/>
        <v>37766.666666666664</v>
      </c>
      <c r="H21" s="82">
        <f t="shared" si="7"/>
        <v>37766.666666666664</v>
      </c>
      <c r="I21" s="82">
        <f t="shared" si="7"/>
        <v>37766.666666666664</v>
      </c>
      <c r="J21" s="82">
        <f t="shared" si="7"/>
        <v>37766.666666666664</v>
      </c>
      <c r="K21" s="82">
        <f t="shared" si="7"/>
        <v>37766.666666666664</v>
      </c>
      <c r="L21" s="82">
        <f t="shared" si="7"/>
        <v>37766.666666666664</v>
      </c>
      <c r="M21" s="82">
        <f t="shared" si="7"/>
        <v>37766.666666666664</v>
      </c>
      <c r="N21" s="61">
        <f t="shared" si="5"/>
        <v>453200</v>
      </c>
      <c r="O21" s="28" t="str">
        <f>IF((N21-Budget!D59)&lt;2,IF((N21-Budget!D59)&gt;-2,"Yes","No"),"No")</f>
        <v>Yes</v>
      </c>
    </row>
    <row r="22" spans="1:15" x14ac:dyDescent="0.35">
      <c r="A22" s="68" t="str">
        <f>Budget!A60</f>
        <v>Arts/PE/Connections Teachers</v>
      </c>
      <c r="B22" s="83">
        <f>Budget!D60/12</f>
        <v>6051.25</v>
      </c>
      <c r="C22" s="83">
        <f t="shared" si="3"/>
        <v>6051.25</v>
      </c>
      <c r="D22" s="83">
        <f t="shared" ref="D22:M22" si="8">C22</f>
        <v>6051.25</v>
      </c>
      <c r="E22" s="83">
        <f t="shared" si="8"/>
        <v>6051.25</v>
      </c>
      <c r="F22" s="83">
        <f t="shared" si="8"/>
        <v>6051.25</v>
      </c>
      <c r="G22" s="83">
        <f t="shared" si="8"/>
        <v>6051.25</v>
      </c>
      <c r="H22" s="83">
        <f t="shared" si="8"/>
        <v>6051.25</v>
      </c>
      <c r="I22" s="83">
        <f t="shared" si="8"/>
        <v>6051.25</v>
      </c>
      <c r="J22" s="83">
        <f t="shared" si="8"/>
        <v>6051.25</v>
      </c>
      <c r="K22" s="83">
        <f t="shared" si="8"/>
        <v>6051.25</v>
      </c>
      <c r="L22" s="83">
        <f t="shared" si="8"/>
        <v>6051.25</v>
      </c>
      <c r="M22" s="83">
        <f t="shared" si="8"/>
        <v>6051.25</v>
      </c>
      <c r="N22" s="59">
        <f t="shared" si="5"/>
        <v>72615</v>
      </c>
      <c r="O22" s="29" t="str">
        <f>IF((N22-Budget!D60)&lt;2,IF((N22-Budget!D60)&gt;-2,"Yes","No"),"No")</f>
        <v>Yes</v>
      </c>
    </row>
    <row r="23" spans="1:15" x14ac:dyDescent="0.35">
      <c r="A23" s="67" t="str">
        <f>Budget!A61</f>
        <v>Athletics/Extracurricular Coaches</v>
      </c>
      <c r="B23" s="82">
        <f>Budget!D61/12</f>
        <v>0</v>
      </c>
      <c r="C23" s="82">
        <f t="shared" si="3"/>
        <v>0</v>
      </c>
      <c r="D23" s="82">
        <f t="shared" ref="D23:M35" si="9">C23</f>
        <v>0</v>
      </c>
      <c r="E23" s="82">
        <f t="shared" si="9"/>
        <v>0</v>
      </c>
      <c r="F23" s="82">
        <f t="shared" si="9"/>
        <v>0</v>
      </c>
      <c r="G23" s="82">
        <f t="shared" si="9"/>
        <v>0</v>
      </c>
      <c r="H23" s="82">
        <f t="shared" si="9"/>
        <v>0</v>
      </c>
      <c r="I23" s="82">
        <f t="shared" si="9"/>
        <v>0</v>
      </c>
      <c r="J23" s="82">
        <f t="shared" si="9"/>
        <v>0</v>
      </c>
      <c r="K23" s="82">
        <f t="shared" si="9"/>
        <v>0</v>
      </c>
      <c r="L23" s="82">
        <f t="shared" si="9"/>
        <v>0</v>
      </c>
      <c r="M23" s="82">
        <f t="shared" si="9"/>
        <v>0</v>
      </c>
      <c r="N23" s="61">
        <f t="shared" si="5"/>
        <v>0</v>
      </c>
      <c r="O23" s="28" t="str">
        <f>IF((N23-Budget!D61)&lt;2,IF((N23-Budget!D61)&gt;-2,"Yes","No"),"No")</f>
        <v>Yes</v>
      </c>
    </row>
    <row r="24" spans="1:15" x14ac:dyDescent="0.35">
      <c r="A24" s="68" t="str">
        <f>Budget!A62</f>
        <v>Guidance Counselors</v>
      </c>
      <c r="B24" s="83">
        <f>Budget!D62/12</f>
        <v>0</v>
      </c>
      <c r="C24" s="83">
        <f t="shared" si="3"/>
        <v>0</v>
      </c>
      <c r="D24" s="83">
        <f t="shared" si="9"/>
        <v>0</v>
      </c>
      <c r="E24" s="83">
        <f t="shared" si="9"/>
        <v>0</v>
      </c>
      <c r="F24" s="83">
        <f t="shared" si="9"/>
        <v>0</v>
      </c>
      <c r="G24" s="83">
        <f t="shared" si="9"/>
        <v>0</v>
      </c>
      <c r="H24" s="83">
        <f t="shared" si="9"/>
        <v>0</v>
      </c>
      <c r="I24" s="83">
        <f t="shared" si="9"/>
        <v>0</v>
      </c>
      <c r="J24" s="83">
        <f t="shared" si="9"/>
        <v>0</v>
      </c>
      <c r="K24" s="83">
        <f t="shared" si="9"/>
        <v>0</v>
      </c>
      <c r="L24" s="83">
        <f t="shared" si="9"/>
        <v>0</v>
      </c>
      <c r="M24" s="83">
        <f t="shared" si="9"/>
        <v>0</v>
      </c>
      <c r="N24" s="59">
        <f t="shared" si="5"/>
        <v>0</v>
      </c>
      <c r="O24" s="29" t="str">
        <f>IF((N24-Budget!D62)&lt;2,IF((N24-Budget!D62)&gt;-2,"Yes","No"),"No")</f>
        <v>Yes</v>
      </c>
    </row>
    <row r="25" spans="1:15" x14ac:dyDescent="0.35">
      <c r="A25" s="67" t="str">
        <f>Budget!A63</f>
        <v xml:space="preserve">Special Education Personnel </v>
      </c>
      <c r="B25" s="82">
        <f>Budget!D63/12</f>
        <v>4806.666666666667</v>
      </c>
      <c r="C25" s="82">
        <f t="shared" si="3"/>
        <v>4806.666666666667</v>
      </c>
      <c r="D25" s="82">
        <f t="shared" si="9"/>
        <v>4806.666666666667</v>
      </c>
      <c r="E25" s="82">
        <f t="shared" si="9"/>
        <v>4806.666666666667</v>
      </c>
      <c r="F25" s="82">
        <f t="shared" si="9"/>
        <v>4806.666666666667</v>
      </c>
      <c r="G25" s="82">
        <f t="shared" si="9"/>
        <v>4806.666666666667</v>
      </c>
      <c r="H25" s="82">
        <f t="shared" si="9"/>
        <v>4806.666666666667</v>
      </c>
      <c r="I25" s="82">
        <f t="shared" si="9"/>
        <v>4806.666666666667</v>
      </c>
      <c r="J25" s="82">
        <f t="shared" si="9"/>
        <v>4806.666666666667</v>
      </c>
      <c r="K25" s="82">
        <f t="shared" si="9"/>
        <v>4806.666666666667</v>
      </c>
      <c r="L25" s="82">
        <f t="shared" si="9"/>
        <v>4806.666666666667</v>
      </c>
      <c r="M25" s="82">
        <f t="shared" si="9"/>
        <v>4806.666666666667</v>
      </c>
      <c r="N25" s="61">
        <f t="shared" si="5"/>
        <v>57680</v>
      </c>
      <c r="O25" s="28" t="str">
        <f>IF((N25-Budget!D63)&lt;2,IF((N25-Budget!D63)&gt;-2,"Yes","No"),"No")</f>
        <v>Yes</v>
      </c>
    </row>
    <row r="26" spans="1:15" x14ac:dyDescent="0.35">
      <c r="A26" s="68" t="str">
        <f>Budget!A64</f>
        <v>Office Manager</v>
      </c>
      <c r="B26" s="83">
        <f>Budget!D64/12</f>
        <v>3776.6666666666665</v>
      </c>
      <c r="C26" s="83">
        <f t="shared" si="3"/>
        <v>3776.6666666666665</v>
      </c>
      <c r="D26" s="83">
        <f t="shared" si="9"/>
        <v>3776.6666666666665</v>
      </c>
      <c r="E26" s="83">
        <f t="shared" si="9"/>
        <v>3776.6666666666665</v>
      </c>
      <c r="F26" s="83">
        <f t="shared" si="9"/>
        <v>3776.6666666666665</v>
      </c>
      <c r="G26" s="83">
        <f t="shared" si="9"/>
        <v>3776.6666666666665</v>
      </c>
      <c r="H26" s="83">
        <f t="shared" si="9"/>
        <v>3776.6666666666665</v>
      </c>
      <c r="I26" s="83">
        <f t="shared" si="9"/>
        <v>3776.6666666666665</v>
      </c>
      <c r="J26" s="83">
        <f t="shared" si="9"/>
        <v>3776.6666666666665</v>
      </c>
      <c r="K26" s="83">
        <f t="shared" si="9"/>
        <v>3776.6666666666665</v>
      </c>
      <c r="L26" s="83">
        <f t="shared" si="9"/>
        <v>3776.6666666666665</v>
      </c>
      <c r="M26" s="83">
        <f t="shared" si="9"/>
        <v>3776.6666666666665</v>
      </c>
      <c r="N26" s="59">
        <f t="shared" si="5"/>
        <v>45320</v>
      </c>
      <c r="O26" s="29" t="str">
        <f>IF((N26-Budget!D64)&lt;2,IF((N26-Budget!D64)&gt;-2,"Yes","No"),"No")</f>
        <v>Yes</v>
      </c>
    </row>
    <row r="27" spans="1:15" x14ac:dyDescent="0.35">
      <c r="A27" s="67" t="str">
        <f>Budget!A65</f>
        <v>Office Assistant</v>
      </c>
      <c r="B27" s="82">
        <v>0</v>
      </c>
      <c r="C27" s="82">
        <f>Budget!D65/11</f>
        <v>2022.5454545454545</v>
      </c>
      <c r="D27" s="82">
        <f t="shared" si="9"/>
        <v>2022.5454545454545</v>
      </c>
      <c r="E27" s="82">
        <f t="shared" si="9"/>
        <v>2022.5454545454545</v>
      </c>
      <c r="F27" s="82">
        <f t="shared" si="9"/>
        <v>2022.5454545454545</v>
      </c>
      <c r="G27" s="82">
        <f t="shared" si="9"/>
        <v>2022.5454545454545</v>
      </c>
      <c r="H27" s="82">
        <f t="shared" si="9"/>
        <v>2022.5454545454545</v>
      </c>
      <c r="I27" s="82">
        <f t="shared" si="9"/>
        <v>2022.5454545454545</v>
      </c>
      <c r="J27" s="82">
        <f t="shared" si="9"/>
        <v>2022.5454545454545</v>
      </c>
      <c r="K27" s="82">
        <f t="shared" si="9"/>
        <v>2022.5454545454545</v>
      </c>
      <c r="L27" s="82">
        <f t="shared" si="9"/>
        <v>2022.5454545454545</v>
      </c>
      <c r="M27" s="82">
        <f t="shared" si="9"/>
        <v>2022.5454545454545</v>
      </c>
      <c r="N27" s="61">
        <f t="shared" si="5"/>
        <v>22248</v>
      </c>
      <c r="O27" s="28" t="str">
        <f>IF((N27-Budget!D65)&lt;2,IF((N27-Budget!D65)&gt;-2,"Yes","No"),"No")</f>
        <v>Yes</v>
      </c>
    </row>
    <row r="28" spans="1:15" x14ac:dyDescent="0.35">
      <c r="A28" s="68" t="str">
        <f>Budget!A66</f>
        <v>Business Manager</v>
      </c>
      <c r="B28" s="83">
        <v>0</v>
      </c>
      <c r="C28" s="83">
        <f>Budget!D66/11</f>
        <v>3558.181818181818</v>
      </c>
      <c r="D28" s="83">
        <f t="shared" si="9"/>
        <v>3558.181818181818</v>
      </c>
      <c r="E28" s="83">
        <f t="shared" si="9"/>
        <v>3558.181818181818</v>
      </c>
      <c r="F28" s="83">
        <f t="shared" si="9"/>
        <v>3558.181818181818</v>
      </c>
      <c r="G28" s="83">
        <f t="shared" si="9"/>
        <v>3558.181818181818</v>
      </c>
      <c r="H28" s="83">
        <f t="shared" si="9"/>
        <v>3558.181818181818</v>
      </c>
      <c r="I28" s="83">
        <f t="shared" si="9"/>
        <v>3558.181818181818</v>
      </c>
      <c r="J28" s="83">
        <f t="shared" si="9"/>
        <v>3558.181818181818</v>
      </c>
      <c r="K28" s="83">
        <f t="shared" si="9"/>
        <v>3558.181818181818</v>
      </c>
      <c r="L28" s="83">
        <f t="shared" si="9"/>
        <v>3558.181818181818</v>
      </c>
      <c r="M28" s="83">
        <f t="shared" si="9"/>
        <v>3558.181818181818</v>
      </c>
      <c r="N28" s="59">
        <f t="shared" si="5"/>
        <v>39140</v>
      </c>
      <c r="O28" s="29" t="str">
        <f>IF((N28-Budget!D66)&lt;2,IF((N28-Budget!D66)&gt;-2,"Yes","No"),"No")</f>
        <v>Yes</v>
      </c>
    </row>
    <row r="29" spans="1:15" x14ac:dyDescent="0.35">
      <c r="A29" s="67" t="str">
        <f>Budget!A67</f>
        <v>Maintenance Personnel</v>
      </c>
      <c r="B29" s="82">
        <f>Budget!D67/12</f>
        <v>0</v>
      </c>
      <c r="C29" s="82">
        <f t="shared" si="3"/>
        <v>0</v>
      </c>
      <c r="D29" s="82">
        <f t="shared" si="9"/>
        <v>0</v>
      </c>
      <c r="E29" s="82">
        <f t="shared" si="9"/>
        <v>0</v>
      </c>
      <c r="F29" s="82">
        <f t="shared" si="9"/>
        <v>0</v>
      </c>
      <c r="G29" s="82">
        <f t="shared" si="9"/>
        <v>0</v>
      </c>
      <c r="H29" s="82">
        <f t="shared" si="9"/>
        <v>0</v>
      </c>
      <c r="I29" s="82">
        <f t="shared" si="9"/>
        <v>0</v>
      </c>
      <c r="J29" s="82">
        <f t="shared" si="9"/>
        <v>0</v>
      </c>
      <c r="K29" s="82">
        <f t="shared" si="9"/>
        <v>0</v>
      </c>
      <c r="L29" s="82">
        <f t="shared" si="9"/>
        <v>0</v>
      </c>
      <c r="M29" s="82">
        <f t="shared" si="9"/>
        <v>0</v>
      </c>
      <c r="N29" s="61">
        <f t="shared" si="5"/>
        <v>0</v>
      </c>
      <c r="O29" s="28" t="str">
        <f>IF((N29-Budget!D67)&lt;2,IF((N29-Budget!D67)&gt;-2,"Yes","No"),"No")</f>
        <v>Yes</v>
      </c>
    </row>
    <row r="30" spans="1:15" x14ac:dyDescent="0.35">
      <c r="A30" s="68" t="str">
        <f>Budget!A68</f>
        <v>Food Service Personnel</v>
      </c>
      <c r="B30" s="83">
        <v>0</v>
      </c>
      <c r="C30" s="83">
        <f>Budget!D68/11</f>
        <v>90.909090909090907</v>
      </c>
      <c r="D30" s="83">
        <f t="shared" si="9"/>
        <v>90.909090909090907</v>
      </c>
      <c r="E30" s="83">
        <f t="shared" si="9"/>
        <v>90.909090909090907</v>
      </c>
      <c r="F30" s="83">
        <f t="shared" si="9"/>
        <v>90.909090909090907</v>
      </c>
      <c r="G30" s="83">
        <f t="shared" si="9"/>
        <v>90.909090909090907</v>
      </c>
      <c r="H30" s="83">
        <f t="shared" si="9"/>
        <v>90.909090909090907</v>
      </c>
      <c r="I30" s="83">
        <f t="shared" si="9"/>
        <v>90.909090909090907</v>
      </c>
      <c r="J30" s="83">
        <f t="shared" si="9"/>
        <v>90.909090909090907</v>
      </c>
      <c r="K30" s="83">
        <f t="shared" si="9"/>
        <v>90.909090909090907</v>
      </c>
      <c r="L30" s="83">
        <f t="shared" si="9"/>
        <v>90.909090909090907</v>
      </c>
      <c r="M30" s="83">
        <f t="shared" si="9"/>
        <v>90.909090909090907</v>
      </c>
      <c r="N30" s="59">
        <f t="shared" si="5"/>
        <v>1000</v>
      </c>
      <c r="O30" s="29" t="str">
        <f>IF((N30-Budget!D68)&lt;2,IF((N30-Budget!D68)&gt;-2,"Yes","No"),"No")</f>
        <v>Yes</v>
      </c>
    </row>
    <row r="31" spans="1:15" ht="43.5" x14ac:dyDescent="0.35">
      <c r="A31" s="67" t="str">
        <f>Budget!A69</f>
        <v>Retirement Benefits - Membership in TRS is required for teachers.  (FY23 rate=19.98%, recent yrs have been in this range)</v>
      </c>
      <c r="B31" s="82">
        <f>Budget!D69/12</f>
        <v>9715.19175</v>
      </c>
      <c r="C31" s="82">
        <f t="shared" si="3"/>
        <v>9715.19175</v>
      </c>
      <c r="D31" s="82">
        <f t="shared" si="9"/>
        <v>9715.19175</v>
      </c>
      <c r="E31" s="82">
        <f t="shared" si="9"/>
        <v>9715.19175</v>
      </c>
      <c r="F31" s="82">
        <f t="shared" si="9"/>
        <v>9715.19175</v>
      </c>
      <c r="G31" s="82">
        <f t="shared" si="9"/>
        <v>9715.19175</v>
      </c>
      <c r="H31" s="82">
        <f t="shared" si="9"/>
        <v>9715.19175</v>
      </c>
      <c r="I31" s="82">
        <f t="shared" si="9"/>
        <v>9715.19175</v>
      </c>
      <c r="J31" s="82">
        <f t="shared" si="9"/>
        <v>9715.19175</v>
      </c>
      <c r="K31" s="82">
        <f t="shared" si="9"/>
        <v>9715.19175</v>
      </c>
      <c r="L31" s="82">
        <f t="shared" si="9"/>
        <v>9715.19175</v>
      </c>
      <c r="M31" s="82">
        <f t="shared" si="9"/>
        <v>9715.19175</v>
      </c>
      <c r="N31" s="61">
        <f t="shared" si="5"/>
        <v>116582</v>
      </c>
      <c r="O31" s="28" t="str">
        <f>IF((N31-Budget!D69)&lt;2,IF((N31-Budget!D69)&gt;-2,"Yes","No"),"No")</f>
        <v>Yes</v>
      </c>
    </row>
    <row r="32" spans="1:15" x14ac:dyDescent="0.35">
      <c r="A32" s="68" t="str">
        <f>Budget!A70</f>
        <v>Health Benefits</v>
      </c>
      <c r="B32" s="83">
        <f>Budget!D70/12</f>
        <v>5958.333333333333</v>
      </c>
      <c r="C32" s="83">
        <f t="shared" si="3"/>
        <v>5958.333333333333</v>
      </c>
      <c r="D32" s="83">
        <f t="shared" si="9"/>
        <v>5958.333333333333</v>
      </c>
      <c r="E32" s="83">
        <f t="shared" si="9"/>
        <v>5958.333333333333</v>
      </c>
      <c r="F32" s="83">
        <f t="shared" si="9"/>
        <v>5958.333333333333</v>
      </c>
      <c r="G32" s="83">
        <f t="shared" si="9"/>
        <v>5958.333333333333</v>
      </c>
      <c r="H32" s="83">
        <f t="shared" si="9"/>
        <v>5958.333333333333</v>
      </c>
      <c r="I32" s="83">
        <f t="shared" si="9"/>
        <v>5958.333333333333</v>
      </c>
      <c r="J32" s="83">
        <f t="shared" si="9"/>
        <v>5958.333333333333</v>
      </c>
      <c r="K32" s="83">
        <f t="shared" si="9"/>
        <v>5958.333333333333</v>
      </c>
      <c r="L32" s="83">
        <f t="shared" si="9"/>
        <v>5958.333333333333</v>
      </c>
      <c r="M32" s="83">
        <f t="shared" si="9"/>
        <v>5958.333333333333</v>
      </c>
      <c r="N32" s="59">
        <f t="shared" si="5"/>
        <v>71500</v>
      </c>
      <c r="O32" s="29" t="str">
        <f>IF((N32-Budget!D70)&lt;2,IF((N32-Budget!D70)&gt;-2,"Yes","No"),"No")</f>
        <v>Yes</v>
      </c>
    </row>
    <row r="33" spans="1:15" x14ac:dyDescent="0.35">
      <c r="A33" s="67" t="str">
        <f>Budget!A71</f>
        <v>FICA (OASDI 6.2%, HI 1.45%)</v>
      </c>
      <c r="B33" s="82">
        <f>Budget!D71/12</f>
        <v>5198.3535000000002</v>
      </c>
      <c r="C33" s="82">
        <f t="shared" si="3"/>
        <v>5198.3535000000002</v>
      </c>
      <c r="D33" s="82">
        <f t="shared" si="9"/>
        <v>5198.3535000000002</v>
      </c>
      <c r="E33" s="82">
        <f t="shared" si="9"/>
        <v>5198.3535000000002</v>
      </c>
      <c r="F33" s="82">
        <f t="shared" si="9"/>
        <v>5198.3535000000002</v>
      </c>
      <c r="G33" s="82">
        <f t="shared" si="9"/>
        <v>5198.3535000000002</v>
      </c>
      <c r="H33" s="82">
        <f t="shared" si="9"/>
        <v>5198.3535000000002</v>
      </c>
      <c r="I33" s="82">
        <f t="shared" si="9"/>
        <v>5198.3535000000002</v>
      </c>
      <c r="J33" s="82">
        <f t="shared" si="9"/>
        <v>5198.3535000000002</v>
      </c>
      <c r="K33" s="82">
        <f t="shared" si="9"/>
        <v>5198.3535000000002</v>
      </c>
      <c r="L33" s="82">
        <f t="shared" si="9"/>
        <v>5198.3535000000002</v>
      </c>
      <c r="M33" s="82">
        <f t="shared" si="9"/>
        <v>5198.3535000000002</v>
      </c>
      <c r="N33" s="61">
        <f t="shared" si="5"/>
        <v>62380</v>
      </c>
      <c r="O33" s="28" t="str">
        <f>IF((N33-Budget!D71)&lt;2,IF((N33-Budget!D71)&gt;-2,"Yes","No"),"No")</f>
        <v>Yes</v>
      </c>
    </row>
    <row r="34" spans="1:15" x14ac:dyDescent="0.35">
      <c r="A34" s="68" t="str">
        <f>Budget!A72</f>
        <v>Other Payroll Expenses/Taxes</v>
      </c>
      <c r="B34" s="83">
        <f>Budget!D72/12</f>
        <v>0</v>
      </c>
      <c r="C34" s="83">
        <f t="shared" si="3"/>
        <v>0</v>
      </c>
      <c r="D34" s="83">
        <f t="shared" si="9"/>
        <v>0</v>
      </c>
      <c r="E34" s="83">
        <f t="shared" si="9"/>
        <v>0</v>
      </c>
      <c r="F34" s="83">
        <f t="shared" si="9"/>
        <v>0</v>
      </c>
      <c r="G34" s="83">
        <f t="shared" si="9"/>
        <v>0</v>
      </c>
      <c r="H34" s="83">
        <f t="shared" si="9"/>
        <v>0</v>
      </c>
      <c r="I34" s="83">
        <f t="shared" si="9"/>
        <v>0</v>
      </c>
      <c r="J34" s="83">
        <f t="shared" si="9"/>
        <v>0</v>
      </c>
      <c r="K34" s="83">
        <f t="shared" si="9"/>
        <v>0</v>
      </c>
      <c r="L34" s="83">
        <f t="shared" si="9"/>
        <v>0</v>
      </c>
      <c r="M34" s="83">
        <f t="shared" si="9"/>
        <v>0</v>
      </c>
      <c r="N34" s="59">
        <f t="shared" si="5"/>
        <v>0</v>
      </c>
      <c r="O34" s="29" t="str">
        <f>IF((N34-Budget!D72)&lt;2,IF((N34-Budget!D72)&gt;-2,"Yes","No"),"No")</f>
        <v>Yes</v>
      </c>
    </row>
    <row r="35" spans="1:15" x14ac:dyDescent="0.35">
      <c r="A35" s="69" t="str">
        <f>Budget!A73</f>
        <v>Endorsement/Incentive Increases</v>
      </c>
      <c r="B35" s="82">
        <f>Budget!D73/12</f>
        <v>0</v>
      </c>
      <c r="C35" s="82">
        <f t="shared" si="3"/>
        <v>0</v>
      </c>
      <c r="D35" s="82">
        <f t="shared" si="9"/>
        <v>0</v>
      </c>
      <c r="E35" s="82">
        <f t="shared" si="9"/>
        <v>0</v>
      </c>
      <c r="F35" s="82">
        <f t="shared" si="9"/>
        <v>0</v>
      </c>
      <c r="G35" s="82">
        <f t="shared" si="9"/>
        <v>0</v>
      </c>
      <c r="H35" s="82">
        <f t="shared" si="9"/>
        <v>0</v>
      </c>
      <c r="I35" s="82">
        <f t="shared" si="9"/>
        <v>0</v>
      </c>
      <c r="J35" s="82">
        <f t="shared" si="9"/>
        <v>0</v>
      </c>
      <c r="K35" s="82">
        <f t="shared" si="9"/>
        <v>0</v>
      </c>
      <c r="L35" s="82">
        <f t="shared" si="9"/>
        <v>0</v>
      </c>
      <c r="M35" s="82">
        <f t="shared" si="9"/>
        <v>0</v>
      </c>
      <c r="N35" s="61">
        <f t="shared" si="5"/>
        <v>0</v>
      </c>
      <c r="O35" s="28" t="str">
        <f>IF((N35-Budget!D73)&lt;2,IF((N35-Budget!D73)&gt;-2,"Yes","No"),"No")</f>
        <v>Yes</v>
      </c>
    </row>
    <row r="36" spans="1:15" x14ac:dyDescent="0.35">
      <c r="A36" s="68">
        <f>Budget!A74</f>
        <v>0</v>
      </c>
      <c r="B36" s="83"/>
      <c r="C36" s="83"/>
      <c r="D36" s="83"/>
      <c r="E36" s="83"/>
      <c r="F36" s="83"/>
      <c r="G36" s="83"/>
      <c r="H36" s="83"/>
      <c r="I36" s="83"/>
      <c r="J36" s="83"/>
      <c r="K36" s="83"/>
      <c r="L36" s="83"/>
      <c r="M36" s="83"/>
      <c r="N36" s="59">
        <f t="shared" si="5"/>
        <v>0</v>
      </c>
      <c r="O36" s="29" t="str">
        <f>IF((N36-Budget!D74)&lt;2,IF((N36-Budget!D74)&gt;-2,"Yes","No"),"No")</f>
        <v>Yes</v>
      </c>
    </row>
    <row r="37" spans="1:15" ht="15.5" x14ac:dyDescent="0.35">
      <c r="A37" s="70" t="str">
        <f>Budget!A75</f>
        <v>Total Personnel Expenses</v>
      </c>
      <c r="B37" s="63">
        <f>SUM(B19:B36)</f>
        <v>83708.545249999981</v>
      </c>
      <c r="C37" s="63">
        <f t="shared" ref="C37:M37" si="10">SUM(C19:C36)</f>
        <v>89380.181613636349</v>
      </c>
      <c r="D37" s="63">
        <f t="shared" si="10"/>
        <v>89380.181613636349</v>
      </c>
      <c r="E37" s="63">
        <f t="shared" si="10"/>
        <v>89380.181613636349</v>
      </c>
      <c r="F37" s="63">
        <f t="shared" si="10"/>
        <v>89380.181613636349</v>
      </c>
      <c r="G37" s="63">
        <f t="shared" si="10"/>
        <v>89380.181613636349</v>
      </c>
      <c r="H37" s="63">
        <f t="shared" si="10"/>
        <v>89380.181613636349</v>
      </c>
      <c r="I37" s="63">
        <f t="shared" si="10"/>
        <v>89380.181613636349</v>
      </c>
      <c r="J37" s="63">
        <f t="shared" si="10"/>
        <v>89380.181613636349</v>
      </c>
      <c r="K37" s="63">
        <f t="shared" si="10"/>
        <v>89380.181613636349</v>
      </c>
      <c r="L37" s="63">
        <f t="shared" si="10"/>
        <v>89380.181613636349</v>
      </c>
      <c r="M37" s="63">
        <f t="shared" si="10"/>
        <v>89380.181613636349</v>
      </c>
      <c r="N37" s="61">
        <f t="shared" si="5"/>
        <v>1066891</v>
      </c>
      <c r="O37" s="28" t="str">
        <f>IF((N37-Budget!D75)&lt;3,IF((N37-Budget!D75)&gt;-3,"Yes","No"),"No")</f>
        <v>Yes</v>
      </c>
    </row>
    <row r="38" spans="1:15" ht="18.5" x14ac:dyDescent="0.45">
      <c r="A38" s="172" t="str">
        <f>Budget!A76</f>
        <v xml:space="preserve">Instructional </v>
      </c>
      <c r="B38" s="173"/>
      <c r="C38" s="173"/>
      <c r="D38" s="173"/>
      <c r="E38" s="173"/>
      <c r="F38" s="173"/>
      <c r="G38" s="173"/>
      <c r="H38" s="173"/>
      <c r="I38" s="173"/>
      <c r="J38" s="173"/>
      <c r="K38" s="173"/>
      <c r="L38" s="173"/>
      <c r="M38" s="173"/>
      <c r="N38" s="173"/>
      <c r="O38" s="174"/>
    </row>
    <row r="39" spans="1:15" x14ac:dyDescent="0.35">
      <c r="A39" s="68" t="str">
        <f>Budget!A77</f>
        <v>Textbooks</v>
      </c>
      <c r="B39" s="81">
        <v>1440</v>
      </c>
      <c r="C39" s="81">
        <v>1440</v>
      </c>
      <c r="D39" s="81">
        <v>0</v>
      </c>
      <c r="E39" s="81">
        <v>0</v>
      </c>
      <c r="F39" s="81">
        <v>0</v>
      </c>
      <c r="G39" s="81">
        <v>0</v>
      </c>
      <c r="H39" s="81">
        <v>720</v>
      </c>
      <c r="I39" s="81">
        <v>0</v>
      </c>
      <c r="J39" s="81">
        <v>0</v>
      </c>
      <c r="K39" s="81">
        <v>0</v>
      </c>
      <c r="L39" s="81">
        <v>720</v>
      </c>
      <c r="M39" s="81">
        <v>0</v>
      </c>
      <c r="N39" s="59">
        <f t="shared" si="5"/>
        <v>4320</v>
      </c>
      <c r="O39" s="29" t="str">
        <f>IF((N39-Budget!D77)&lt;2,IF((N39-Budget!D77)&gt;-2,"Yes","No"),"No")</f>
        <v>Yes</v>
      </c>
    </row>
    <row r="40" spans="1:15" x14ac:dyDescent="0.35">
      <c r="A40" s="67" t="str">
        <f>Budget!A78</f>
        <v>Classroom Supplies</v>
      </c>
      <c r="B40" s="19">
        <v>450</v>
      </c>
      <c r="C40" s="19">
        <v>5300</v>
      </c>
      <c r="D40" s="19">
        <v>450</v>
      </c>
      <c r="E40" s="19">
        <v>450</v>
      </c>
      <c r="F40" s="19">
        <v>450</v>
      </c>
      <c r="G40" s="19">
        <v>450</v>
      </c>
      <c r="H40" s="19">
        <v>450</v>
      </c>
      <c r="I40" s="19">
        <v>450</v>
      </c>
      <c r="J40" s="19">
        <v>450</v>
      </c>
      <c r="K40" s="19">
        <v>450</v>
      </c>
      <c r="L40" s="19">
        <v>450</v>
      </c>
      <c r="M40" s="19">
        <v>1000</v>
      </c>
      <c r="N40" s="61">
        <f t="shared" si="5"/>
        <v>10800</v>
      </c>
      <c r="O40" s="28" t="str">
        <f>IF((N40-Budget!D78)&lt;2,IF((N40-Budget!D78)&gt;-2,"Yes","No"),"No")</f>
        <v>Yes</v>
      </c>
    </row>
    <row r="41" spans="1:15" x14ac:dyDescent="0.35">
      <c r="A41" s="68" t="str">
        <f>Budget!A79</f>
        <v>Computers</v>
      </c>
      <c r="B41" s="81">
        <v>8640</v>
      </c>
      <c r="C41" s="81">
        <v>8640</v>
      </c>
      <c r="D41" s="81">
        <v>8640</v>
      </c>
      <c r="E41" s="81">
        <v>0</v>
      </c>
      <c r="F41" s="81">
        <v>0</v>
      </c>
      <c r="G41" s="81">
        <v>0</v>
      </c>
      <c r="H41" s="81">
        <v>0</v>
      </c>
      <c r="I41" s="81">
        <v>0</v>
      </c>
      <c r="J41" s="81">
        <v>0</v>
      </c>
      <c r="K41" s="81">
        <v>0</v>
      </c>
      <c r="L41" s="81">
        <v>0</v>
      </c>
      <c r="M41" s="81">
        <v>0</v>
      </c>
      <c r="N41" s="59">
        <f t="shared" si="5"/>
        <v>25920</v>
      </c>
      <c r="O41" s="29" t="str">
        <f>IF((N41-Budget!D79)&lt;2,IF((N41-Budget!D79)&gt;-2,"Yes","No"),"No")</f>
        <v>Yes</v>
      </c>
    </row>
    <row r="42" spans="1:15" x14ac:dyDescent="0.35">
      <c r="A42" s="67" t="str">
        <f>Budget!A80</f>
        <v>Software</v>
      </c>
      <c r="B42" s="19">
        <v>0</v>
      </c>
      <c r="C42" s="19">
        <v>3240</v>
      </c>
      <c r="D42" s="19">
        <v>0</v>
      </c>
      <c r="E42" s="19">
        <v>0</v>
      </c>
      <c r="F42" s="19">
        <v>0</v>
      </c>
      <c r="G42" s="19">
        <v>0</v>
      </c>
      <c r="H42" s="19">
        <v>0</v>
      </c>
      <c r="I42" s="19">
        <v>0</v>
      </c>
      <c r="J42" s="19">
        <v>0</v>
      </c>
      <c r="K42" s="19">
        <v>0</v>
      </c>
      <c r="L42" s="19">
        <v>0</v>
      </c>
      <c r="M42" s="19">
        <v>0</v>
      </c>
      <c r="N42" s="61">
        <f t="shared" si="5"/>
        <v>3240</v>
      </c>
      <c r="O42" s="28" t="str">
        <f>IF((N42-Budget!D80)&lt;2,IF((N42-Budget!D80)&gt;-2,"Yes","No"),"No")</f>
        <v>Yes</v>
      </c>
    </row>
    <row r="43" spans="1:15" x14ac:dyDescent="0.35">
      <c r="A43" s="68" t="str">
        <f>Budget!A81</f>
        <v>Field Trips</v>
      </c>
      <c r="B43" s="81">
        <v>0</v>
      </c>
      <c r="C43" s="81">
        <v>0</v>
      </c>
      <c r="D43" s="81">
        <v>0</v>
      </c>
      <c r="E43" s="81">
        <v>0</v>
      </c>
      <c r="F43" s="81">
        <v>0</v>
      </c>
      <c r="G43" s="81">
        <v>0</v>
      </c>
      <c r="H43" s="81">
        <v>0</v>
      </c>
      <c r="I43" s="81">
        <v>0</v>
      </c>
      <c r="J43" s="81">
        <v>0</v>
      </c>
      <c r="K43" s="81">
        <v>1500</v>
      </c>
      <c r="L43" s="81">
        <v>1500</v>
      </c>
      <c r="M43" s="81">
        <v>0</v>
      </c>
      <c r="N43" s="59">
        <f t="shared" si="5"/>
        <v>3000</v>
      </c>
      <c r="O43" s="29" t="str">
        <f>IF((N43-Budget!D81)&lt;2,IF((N43-Budget!D81)&gt;-2,"Yes","No"),"No")</f>
        <v>Yes</v>
      </c>
    </row>
    <row r="44" spans="1:15" x14ac:dyDescent="0.35">
      <c r="A44" s="67" t="str">
        <f>Budget!A82</f>
        <v>Instructional Equipment</v>
      </c>
      <c r="B44" s="19">
        <v>1620</v>
      </c>
      <c r="C44" s="19">
        <v>1620</v>
      </c>
      <c r="D44" s="19"/>
      <c r="E44" s="19"/>
      <c r="F44" s="19"/>
      <c r="G44" s="19"/>
      <c r="H44" s="19">
        <v>1620</v>
      </c>
      <c r="I44" s="19"/>
      <c r="J44" s="19"/>
      <c r="K44" s="19"/>
      <c r="L44" s="19"/>
      <c r="M44" s="19">
        <v>1620</v>
      </c>
      <c r="N44" s="61">
        <f t="shared" si="5"/>
        <v>6480</v>
      </c>
      <c r="O44" s="28" t="str">
        <f>IF((N44-Budget!D82)&lt;2,IF((N44-Budget!D82)&gt;-2,"Yes","No"),"No")</f>
        <v>Yes</v>
      </c>
    </row>
    <row r="45" spans="1:15" x14ac:dyDescent="0.35">
      <c r="A45" s="68" t="str">
        <f>Budget!A83</f>
        <v>Library and Media Center</v>
      </c>
      <c r="B45" s="81">
        <v>1250</v>
      </c>
      <c r="C45" s="81">
        <v>1250</v>
      </c>
      <c r="D45" s="81">
        <v>0</v>
      </c>
      <c r="E45" s="81">
        <v>0</v>
      </c>
      <c r="F45" s="81">
        <v>0</v>
      </c>
      <c r="G45" s="81">
        <v>0</v>
      </c>
      <c r="H45" s="81">
        <v>0</v>
      </c>
      <c r="I45" s="81">
        <v>0</v>
      </c>
      <c r="J45" s="81">
        <v>0</v>
      </c>
      <c r="K45" s="81">
        <v>0</v>
      </c>
      <c r="L45" s="81">
        <v>0</v>
      </c>
      <c r="M45" s="81">
        <v>0</v>
      </c>
      <c r="N45" s="59">
        <f t="shared" si="5"/>
        <v>2500</v>
      </c>
      <c r="O45" s="29" t="str">
        <f>IF((N45-Budget!D83)&lt;2,IF((N45-Budget!D83)&gt;-2,"Yes","No"),"No")</f>
        <v>Yes</v>
      </c>
    </row>
    <row r="46" spans="1:15" x14ac:dyDescent="0.35">
      <c r="A46" s="67" t="str">
        <f>Budget!A84</f>
        <v>Student Assessment</v>
      </c>
      <c r="B46" s="19">
        <v>2160</v>
      </c>
      <c r="C46" s="19">
        <f>B46</f>
        <v>2160</v>
      </c>
      <c r="D46" s="19">
        <v>0</v>
      </c>
      <c r="E46" s="19">
        <v>0</v>
      </c>
      <c r="F46" s="19">
        <v>0</v>
      </c>
      <c r="G46" s="19">
        <v>0</v>
      </c>
      <c r="H46" s="19">
        <v>0</v>
      </c>
      <c r="I46" s="19">
        <v>0</v>
      </c>
      <c r="J46" s="19">
        <v>0</v>
      </c>
      <c r="K46" s="19">
        <v>0</v>
      </c>
      <c r="L46" s="19">
        <v>0</v>
      </c>
      <c r="M46" s="19">
        <v>0</v>
      </c>
      <c r="N46" s="61">
        <f t="shared" si="5"/>
        <v>4320</v>
      </c>
      <c r="O46" s="28" t="str">
        <f>IF((N46-Budget!D84)&lt;2,IF((N46-Budget!D84)&gt;-2,"Yes","No"),"No")</f>
        <v>Yes</v>
      </c>
    </row>
    <row r="47" spans="1:15" x14ac:dyDescent="0.35">
      <c r="A47" s="68" t="str">
        <f>Budget!A85</f>
        <v>Classroom Furniture</v>
      </c>
      <c r="B47" s="81">
        <f>Budget!D85/12</f>
        <v>4166.666666666667</v>
      </c>
      <c r="C47" s="81">
        <f>B47</f>
        <v>4166.666666666667</v>
      </c>
      <c r="D47" s="81">
        <f t="shared" ref="D47:M47" si="11">C47</f>
        <v>4166.666666666667</v>
      </c>
      <c r="E47" s="81">
        <f t="shared" si="11"/>
        <v>4166.666666666667</v>
      </c>
      <c r="F47" s="81">
        <f t="shared" si="11"/>
        <v>4166.666666666667</v>
      </c>
      <c r="G47" s="81">
        <f t="shared" si="11"/>
        <v>4166.666666666667</v>
      </c>
      <c r="H47" s="81">
        <f t="shared" si="11"/>
        <v>4166.666666666667</v>
      </c>
      <c r="I47" s="81">
        <f t="shared" si="11"/>
        <v>4166.666666666667</v>
      </c>
      <c r="J47" s="81">
        <f t="shared" si="11"/>
        <v>4166.666666666667</v>
      </c>
      <c r="K47" s="81">
        <f t="shared" si="11"/>
        <v>4166.666666666667</v>
      </c>
      <c r="L47" s="81">
        <f t="shared" si="11"/>
        <v>4166.666666666667</v>
      </c>
      <c r="M47" s="81">
        <f t="shared" si="11"/>
        <v>4166.666666666667</v>
      </c>
      <c r="N47" s="59">
        <f t="shared" si="5"/>
        <v>50000</v>
      </c>
      <c r="O47" s="29" t="str">
        <f>IF((N47-Budget!D85)&lt;2,IF((N47-Budget!D85)&gt;-2,"Yes","No"),"No")</f>
        <v>Yes</v>
      </c>
    </row>
    <row r="48" spans="1:15" x14ac:dyDescent="0.35">
      <c r="A48" s="67" t="str">
        <f>Budget!A86</f>
        <v>PE Equipment</v>
      </c>
      <c r="B48" s="19">
        <v>0</v>
      </c>
      <c r="C48" s="19">
        <v>0</v>
      </c>
      <c r="D48" s="19">
        <v>764</v>
      </c>
      <c r="E48" s="19">
        <v>0</v>
      </c>
      <c r="F48" s="19">
        <v>0</v>
      </c>
      <c r="G48" s="19">
        <v>0</v>
      </c>
      <c r="H48" s="19">
        <v>0</v>
      </c>
      <c r="I48" s="19">
        <v>0</v>
      </c>
      <c r="J48" s="19">
        <v>0</v>
      </c>
      <c r="K48" s="19">
        <v>0</v>
      </c>
      <c r="L48" s="19">
        <v>0</v>
      </c>
      <c r="M48" s="19">
        <v>0</v>
      </c>
      <c r="N48" s="61">
        <f t="shared" si="5"/>
        <v>764</v>
      </c>
      <c r="O48" s="28" t="str">
        <f>IF((N48-Budget!D86)&lt;2,IF((N48-Budget!D86)&gt;-2,"Yes","No"),"No")</f>
        <v>Yes</v>
      </c>
    </row>
    <row r="49" spans="1:15" x14ac:dyDescent="0.35">
      <c r="A49" s="68" t="str">
        <f>Budget!A87</f>
        <v>Art Supplies</v>
      </c>
      <c r="B49" s="81">
        <v>0</v>
      </c>
      <c r="C49" s="81">
        <v>1080</v>
      </c>
      <c r="D49" s="81">
        <v>0</v>
      </c>
      <c r="E49" s="81">
        <v>0</v>
      </c>
      <c r="F49" s="81">
        <v>0</v>
      </c>
      <c r="G49" s="81">
        <v>0</v>
      </c>
      <c r="H49" s="81">
        <v>0</v>
      </c>
      <c r="I49" s="81">
        <v>0</v>
      </c>
      <c r="J49" s="81">
        <v>0</v>
      </c>
      <c r="K49" s="81">
        <v>0</v>
      </c>
      <c r="L49" s="81">
        <v>0</v>
      </c>
      <c r="M49" s="81">
        <v>0</v>
      </c>
      <c r="N49" s="59">
        <f t="shared" si="5"/>
        <v>1080</v>
      </c>
      <c r="O49" s="29" t="str">
        <f>IF((N49-Budget!D87)&lt;2,IF((N49-Budget!D87)&gt;-2,"Yes","No"),"No")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100</v>
      </c>
      <c r="N50" s="61">
        <f t="shared" si="5"/>
        <v>100</v>
      </c>
      <c r="O50" s="28" t="str">
        <f>IF((N50-Budget!D88)&lt;2,IF((N50-Budget!D88)&gt;-2,"Yes","No"),"No")</f>
        <v>Yes</v>
      </c>
    </row>
    <row r="51" spans="1:15" x14ac:dyDescent="0.35">
      <c r="A51" s="68">
        <f>Budget!A89</f>
        <v>0</v>
      </c>
      <c r="B51" s="81"/>
      <c r="C51" s="81"/>
      <c r="D51" s="81"/>
      <c r="E51" s="81"/>
      <c r="F51" s="81"/>
      <c r="G51" s="81"/>
      <c r="H51" s="81"/>
      <c r="I51" s="81"/>
      <c r="J51" s="81"/>
      <c r="K51" s="81"/>
      <c r="L51" s="81"/>
      <c r="M51" s="81"/>
      <c r="N51" s="59">
        <f t="shared" si="5"/>
        <v>0</v>
      </c>
      <c r="O51" s="29" t="str">
        <f>IF((N51-Budget!D89)&lt;2,IF((N51-Budget!D89)&gt;-2,"Yes","No"),"No")</f>
        <v>Yes</v>
      </c>
    </row>
    <row r="52" spans="1:15" x14ac:dyDescent="0.35">
      <c r="A52" s="67">
        <f>Budget!A90</f>
        <v>0</v>
      </c>
      <c r="B52" s="19"/>
      <c r="C52" s="19"/>
      <c r="D52" s="19"/>
      <c r="E52" s="19"/>
      <c r="F52" s="19"/>
      <c r="G52" s="19"/>
      <c r="H52" s="19"/>
      <c r="I52" s="19"/>
      <c r="J52" s="19"/>
      <c r="K52" s="19"/>
      <c r="L52" s="19"/>
      <c r="M52" s="19"/>
      <c r="N52" s="61">
        <f t="shared" si="5"/>
        <v>0</v>
      </c>
      <c r="O52" s="28" t="str">
        <f>IF((N52-Budget!D90)&lt;2,IF((N52-Budget!D90)&gt;-2,"Yes","No"),"No")</f>
        <v>Yes</v>
      </c>
    </row>
    <row r="53" spans="1:15" x14ac:dyDescent="0.35">
      <c r="A53" s="31">
        <f>Budget!A91</f>
        <v>0</v>
      </c>
      <c r="B53" s="81"/>
      <c r="C53" s="81"/>
      <c r="D53" s="81"/>
      <c r="E53" s="81"/>
      <c r="F53" s="81"/>
      <c r="G53" s="81"/>
      <c r="H53" s="81"/>
      <c r="I53" s="81"/>
      <c r="J53" s="81"/>
      <c r="K53" s="81"/>
      <c r="L53" s="81"/>
      <c r="M53" s="81"/>
      <c r="N53" s="59">
        <f t="shared" si="5"/>
        <v>0</v>
      </c>
      <c r="O53" s="29" t="str">
        <f>IF((N53-Budget!D91)&lt;2,IF((N53-Budget!D91)&gt;-2,"Yes","No"),"No")</f>
        <v>Yes</v>
      </c>
    </row>
    <row r="54" spans="1:15" ht="15.5" x14ac:dyDescent="0.35">
      <c r="A54" s="70" t="str">
        <f>Budget!A92</f>
        <v>Total Instructional Expenses</v>
      </c>
      <c r="B54" s="63">
        <f>SUM(B39:B53)</f>
        <v>19726.666666666668</v>
      </c>
      <c r="C54" s="63">
        <f t="shared" ref="C54:M54" si="12">SUM(C39:C53)</f>
        <v>28896.666666666668</v>
      </c>
      <c r="D54" s="63">
        <f t="shared" si="12"/>
        <v>14020.666666666668</v>
      </c>
      <c r="E54" s="63">
        <f t="shared" si="12"/>
        <v>4616.666666666667</v>
      </c>
      <c r="F54" s="63">
        <f t="shared" si="12"/>
        <v>4616.666666666667</v>
      </c>
      <c r="G54" s="63">
        <f t="shared" si="12"/>
        <v>4616.666666666667</v>
      </c>
      <c r="H54" s="63">
        <f t="shared" si="12"/>
        <v>6956.666666666667</v>
      </c>
      <c r="I54" s="63">
        <f t="shared" si="12"/>
        <v>4616.666666666667</v>
      </c>
      <c r="J54" s="63">
        <f t="shared" si="12"/>
        <v>4616.666666666667</v>
      </c>
      <c r="K54" s="63">
        <f t="shared" si="12"/>
        <v>6116.666666666667</v>
      </c>
      <c r="L54" s="63">
        <f t="shared" si="12"/>
        <v>6836.666666666667</v>
      </c>
      <c r="M54" s="63">
        <f t="shared" si="12"/>
        <v>6886.666666666667</v>
      </c>
      <c r="N54" s="63">
        <f t="shared" ref="N54" si="13">SUM(B54:M54)</f>
        <v>112524.00000000004</v>
      </c>
      <c r="O54" s="28" t="str">
        <f>IF((N54-Budget!D92)&lt;3,IF((N54-Budget!D92)&gt;-3,"Yes","No"),"No")</f>
        <v>Yes</v>
      </c>
    </row>
    <row r="55" spans="1:15" ht="18.5" x14ac:dyDescent="0.45">
      <c r="A55" s="172" t="str">
        <f>Budget!A93</f>
        <v xml:space="preserve">Services and Supplies </v>
      </c>
      <c r="B55" s="173"/>
      <c r="C55" s="173"/>
      <c r="D55" s="173"/>
      <c r="E55" s="173"/>
      <c r="F55" s="173"/>
      <c r="G55" s="173"/>
      <c r="H55" s="173"/>
      <c r="I55" s="173"/>
      <c r="J55" s="173"/>
      <c r="K55" s="173"/>
      <c r="L55" s="173"/>
      <c r="M55" s="173"/>
      <c r="N55" s="173"/>
      <c r="O55" s="174"/>
    </row>
    <row r="56" spans="1:15" x14ac:dyDescent="0.35">
      <c r="A56" s="71" t="str">
        <f>Budget!A94</f>
        <v>Student Uniforms</v>
      </c>
      <c r="B56" s="83">
        <v>0</v>
      </c>
      <c r="C56" s="83">
        <v>0</v>
      </c>
      <c r="D56" s="83">
        <v>0</v>
      </c>
      <c r="E56" s="83">
        <v>0</v>
      </c>
      <c r="F56" s="83">
        <v>0</v>
      </c>
      <c r="G56" s="83">
        <v>0</v>
      </c>
      <c r="H56" s="83">
        <v>0</v>
      </c>
      <c r="I56" s="83">
        <v>0</v>
      </c>
      <c r="J56" s="83">
        <v>0</v>
      </c>
      <c r="K56" s="83">
        <v>0</v>
      </c>
      <c r="L56" s="83">
        <v>0</v>
      </c>
      <c r="M56" s="83">
        <v>0</v>
      </c>
      <c r="N56" s="59">
        <f t="shared" ref="N56:N84" si="14">ROUND(SUM(B56:M56),0)</f>
        <v>0</v>
      </c>
      <c r="O56" s="29" t="str">
        <f>IF((N56-Budget!D94)&lt;2,IF((N56-Budget!D94)&gt;-2,"Yes","No"),"No")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14"/>
        <v>0</v>
      </c>
      <c r="O57" s="28" t="str">
        <f>IF((N57-Budget!D95)&lt;2,IF((N57-Budget!D95)&gt;-2,"Yes","No"),"No")</f>
        <v>Yes</v>
      </c>
    </row>
    <row r="58" spans="1:15" x14ac:dyDescent="0.35">
      <c r="A58" s="68" t="str">
        <f>Budget!A96</f>
        <v>Office Supplies</v>
      </c>
      <c r="B58" s="83">
        <v>0</v>
      </c>
      <c r="C58" s="83">
        <v>2160</v>
      </c>
      <c r="D58" s="83">
        <v>0</v>
      </c>
      <c r="E58" s="83">
        <v>0</v>
      </c>
      <c r="F58" s="83">
        <v>0</v>
      </c>
      <c r="G58" s="83">
        <v>0</v>
      </c>
      <c r="H58" s="83">
        <v>2160</v>
      </c>
      <c r="I58" s="83">
        <v>0</v>
      </c>
      <c r="J58" s="83">
        <v>0</v>
      </c>
      <c r="K58" s="83">
        <v>0</v>
      </c>
      <c r="L58" s="83">
        <v>0</v>
      </c>
      <c r="M58" s="83"/>
      <c r="N58" s="59">
        <f t="shared" si="14"/>
        <v>4320</v>
      </c>
      <c r="O58" s="29" t="str">
        <f>IF((N58-Budget!D96)&lt;2,IF((N58-Budget!D96)&gt;-2,"Yes","No"),"No")</f>
        <v>Yes</v>
      </c>
    </row>
    <row r="59" spans="1:15" x14ac:dyDescent="0.35">
      <c r="A59" s="67" t="str">
        <f>Budget!A97</f>
        <v>Office Furniture</v>
      </c>
      <c r="B59" s="84">
        <v>250</v>
      </c>
      <c r="C59" s="84">
        <v>250</v>
      </c>
      <c r="D59" s="84">
        <v>0</v>
      </c>
      <c r="E59" s="84">
        <v>0</v>
      </c>
      <c r="F59" s="84">
        <v>0</v>
      </c>
      <c r="G59" s="84">
        <v>0</v>
      </c>
      <c r="H59" s="84">
        <v>0</v>
      </c>
      <c r="I59" s="84">
        <v>0</v>
      </c>
      <c r="J59" s="84">
        <v>0</v>
      </c>
      <c r="K59" s="84">
        <v>0</v>
      </c>
      <c r="L59" s="84">
        <v>0</v>
      </c>
      <c r="M59" s="84">
        <v>0</v>
      </c>
      <c r="N59" s="61">
        <f t="shared" si="14"/>
        <v>500</v>
      </c>
      <c r="O59" s="28" t="str">
        <f>IF((N59-Budget!D97)&lt;2,IF((N59-Budget!D97)&gt;-2,"Yes","No"),"No")</f>
        <v>Yes</v>
      </c>
    </row>
    <row r="60" spans="1:15" x14ac:dyDescent="0.35">
      <c r="A60" s="68" t="str">
        <f>Budget!A98</f>
        <v>Office Computers and Software</v>
      </c>
      <c r="B60" s="83">
        <v>250</v>
      </c>
      <c r="C60" s="83">
        <v>0</v>
      </c>
      <c r="D60" s="83">
        <v>0</v>
      </c>
      <c r="E60" s="83">
        <v>0</v>
      </c>
      <c r="F60" s="83">
        <v>0</v>
      </c>
      <c r="G60" s="83">
        <v>0</v>
      </c>
      <c r="H60" s="83">
        <v>0</v>
      </c>
      <c r="I60" s="83">
        <v>0</v>
      </c>
      <c r="J60" s="83">
        <v>0</v>
      </c>
      <c r="K60" s="83">
        <v>0</v>
      </c>
      <c r="L60" s="83">
        <v>250</v>
      </c>
      <c r="M60" s="83">
        <v>0</v>
      </c>
      <c r="N60" s="59">
        <f t="shared" si="14"/>
        <v>500</v>
      </c>
      <c r="O60" s="29" t="str">
        <f>IF((N60-Budget!D98)&lt;2,IF((N60-Budget!D98)&gt;-2,"Yes","No"),"No")</f>
        <v>Yes</v>
      </c>
    </row>
    <row r="61" spans="1:15" x14ac:dyDescent="0.35">
      <c r="A61" s="67" t="str">
        <f>Budget!A99</f>
        <v>Printing and Copying Services</v>
      </c>
      <c r="B61" s="84">
        <f>Budget!D99/12</f>
        <v>900</v>
      </c>
      <c r="C61" s="84">
        <f>B61</f>
        <v>900</v>
      </c>
      <c r="D61" s="84">
        <f t="shared" ref="D61:M61" si="15">C61</f>
        <v>900</v>
      </c>
      <c r="E61" s="84">
        <f t="shared" si="15"/>
        <v>900</v>
      </c>
      <c r="F61" s="84">
        <f t="shared" si="15"/>
        <v>900</v>
      </c>
      <c r="G61" s="84">
        <f t="shared" si="15"/>
        <v>900</v>
      </c>
      <c r="H61" s="84">
        <f t="shared" si="15"/>
        <v>900</v>
      </c>
      <c r="I61" s="84">
        <f t="shared" si="15"/>
        <v>900</v>
      </c>
      <c r="J61" s="84">
        <f t="shared" si="15"/>
        <v>900</v>
      </c>
      <c r="K61" s="84">
        <f t="shared" si="15"/>
        <v>900</v>
      </c>
      <c r="L61" s="84">
        <f t="shared" si="15"/>
        <v>900</v>
      </c>
      <c r="M61" s="84">
        <f t="shared" si="15"/>
        <v>900</v>
      </c>
      <c r="N61" s="61">
        <f t="shared" si="14"/>
        <v>10800</v>
      </c>
      <c r="O61" s="28" t="str">
        <f>IF((N61-Budget!D99)&lt;2,IF((N61-Budget!D99)&gt;-2,"Yes","No"),"No")</f>
        <v>Yes</v>
      </c>
    </row>
    <row r="62" spans="1:15" x14ac:dyDescent="0.35">
      <c r="A62" s="68" t="str">
        <f>Budget!A100</f>
        <v>Postage and Shipping</v>
      </c>
      <c r="B62" s="83">
        <v>0</v>
      </c>
      <c r="C62" s="83">
        <v>66</v>
      </c>
      <c r="D62" s="83">
        <v>66</v>
      </c>
      <c r="E62" s="83">
        <v>66</v>
      </c>
      <c r="F62" s="83">
        <v>66</v>
      </c>
      <c r="G62" s="83">
        <v>66</v>
      </c>
      <c r="H62" s="83">
        <v>66</v>
      </c>
      <c r="I62" s="83">
        <v>66</v>
      </c>
      <c r="J62" s="83">
        <v>66</v>
      </c>
      <c r="K62" s="83">
        <v>66</v>
      </c>
      <c r="L62" s="83">
        <v>64</v>
      </c>
      <c r="M62" s="83">
        <v>0</v>
      </c>
      <c r="N62" s="59">
        <f t="shared" si="14"/>
        <v>658</v>
      </c>
      <c r="O62" s="29" t="str">
        <f>IF((N62-Budget!D100)&lt;2,IF((N62-Budget!D100)&gt;-2,"Yes","No"),"No")</f>
        <v>Yes</v>
      </c>
    </row>
    <row r="63" spans="1:15" x14ac:dyDescent="0.35">
      <c r="A63" s="67" t="str">
        <f>Budget!A101</f>
        <v>Bookkeeping</v>
      </c>
      <c r="B63" s="84">
        <f>Budget!D101/12</f>
        <v>0</v>
      </c>
      <c r="C63" s="84">
        <f>B63</f>
        <v>0</v>
      </c>
      <c r="D63" s="84">
        <f t="shared" ref="D63:M63" si="16">C63</f>
        <v>0</v>
      </c>
      <c r="E63" s="84">
        <f t="shared" si="16"/>
        <v>0</v>
      </c>
      <c r="F63" s="84">
        <f t="shared" si="16"/>
        <v>0</v>
      </c>
      <c r="G63" s="84">
        <f t="shared" si="16"/>
        <v>0</v>
      </c>
      <c r="H63" s="84">
        <f t="shared" si="16"/>
        <v>0</v>
      </c>
      <c r="I63" s="84">
        <f t="shared" si="16"/>
        <v>0</v>
      </c>
      <c r="J63" s="84">
        <f t="shared" si="16"/>
        <v>0</v>
      </c>
      <c r="K63" s="84">
        <f t="shared" si="16"/>
        <v>0</v>
      </c>
      <c r="L63" s="84">
        <f t="shared" si="16"/>
        <v>0</v>
      </c>
      <c r="M63" s="84">
        <f t="shared" si="16"/>
        <v>0</v>
      </c>
      <c r="N63" s="61">
        <f t="shared" si="14"/>
        <v>0</v>
      </c>
      <c r="O63" s="28" t="str">
        <f>IF((N63-Budget!D101)&lt;2,IF((N63-Budget!D101)&gt;-2,"Yes","No"),"No")</f>
        <v>Yes</v>
      </c>
    </row>
    <row r="64" spans="1:15" x14ac:dyDescent="0.35">
      <c r="A64" s="68" t="str">
        <f>Budget!A102</f>
        <v>Audit Fees</v>
      </c>
      <c r="B64" s="83">
        <f>Budget!D102/12</f>
        <v>0</v>
      </c>
      <c r="C64" s="83">
        <f>B64</f>
        <v>0</v>
      </c>
      <c r="D64" s="83">
        <f t="shared" ref="D64:M64" si="17">C64</f>
        <v>0</v>
      </c>
      <c r="E64" s="83">
        <f t="shared" si="17"/>
        <v>0</v>
      </c>
      <c r="F64" s="83">
        <f t="shared" si="17"/>
        <v>0</v>
      </c>
      <c r="G64" s="83">
        <f t="shared" si="17"/>
        <v>0</v>
      </c>
      <c r="H64" s="83">
        <f t="shared" si="17"/>
        <v>0</v>
      </c>
      <c r="I64" s="83">
        <f t="shared" si="17"/>
        <v>0</v>
      </c>
      <c r="J64" s="83">
        <f t="shared" si="17"/>
        <v>0</v>
      </c>
      <c r="K64" s="83">
        <f t="shared" si="17"/>
        <v>0</v>
      </c>
      <c r="L64" s="83">
        <f t="shared" si="17"/>
        <v>0</v>
      </c>
      <c r="M64" s="83">
        <f t="shared" si="17"/>
        <v>0</v>
      </c>
      <c r="N64" s="59">
        <f t="shared" si="14"/>
        <v>0</v>
      </c>
      <c r="O64" s="29" t="str">
        <f>IF((N64-Budget!D102)&lt;2,IF((N64-Budget!D102)&gt;-2,"Yes","No"),"No")</f>
        <v>Yes</v>
      </c>
    </row>
    <row r="65" spans="1:15" x14ac:dyDescent="0.35">
      <c r="A65" s="67" t="str">
        <f>Budget!A103</f>
        <v>Payroll Services</v>
      </c>
      <c r="B65" s="84">
        <f>Budget!D103/12</f>
        <v>900</v>
      </c>
      <c r="C65" s="84">
        <f>B65</f>
        <v>900</v>
      </c>
      <c r="D65" s="84">
        <f t="shared" ref="D65:M65" si="18">C65</f>
        <v>900</v>
      </c>
      <c r="E65" s="84">
        <f t="shared" si="18"/>
        <v>900</v>
      </c>
      <c r="F65" s="84">
        <f t="shared" si="18"/>
        <v>900</v>
      </c>
      <c r="G65" s="84">
        <f t="shared" si="18"/>
        <v>900</v>
      </c>
      <c r="H65" s="84">
        <f t="shared" si="18"/>
        <v>900</v>
      </c>
      <c r="I65" s="84">
        <f t="shared" si="18"/>
        <v>900</v>
      </c>
      <c r="J65" s="84">
        <f t="shared" si="18"/>
        <v>900</v>
      </c>
      <c r="K65" s="84">
        <f t="shared" si="18"/>
        <v>900</v>
      </c>
      <c r="L65" s="84">
        <f t="shared" si="18"/>
        <v>900</v>
      </c>
      <c r="M65" s="84">
        <f t="shared" si="18"/>
        <v>900</v>
      </c>
      <c r="N65" s="61">
        <f t="shared" si="14"/>
        <v>10800</v>
      </c>
      <c r="O65" s="28" t="str">
        <f>IF((N65-Budget!D103)&lt;2,IF((N65-Budget!D103)&gt;-2,"Yes","No"),"No")</f>
        <v>Yes</v>
      </c>
    </row>
    <row r="66" spans="1:15" x14ac:dyDescent="0.35">
      <c r="A66" s="68" t="str">
        <f>Budget!A104</f>
        <v>Banking Fees</v>
      </c>
      <c r="B66" s="83">
        <f>Budget!D104/12</f>
        <v>0</v>
      </c>
      <c r="C66" s="83">
        <f>B66</f>
        <v>0</v>
      </c>
      <c r="D66" s="83">
        <f t="shared" ref="D66:M68" si="19">C66</f>
        <v>0</v>
      </c>
      <c r="E66" s="83">
        <f t="shared" si="19"/>
        <v>0</v>
      </c>
      <c r="F66" s="83">
        <f t="shared" si="19"/>
        <v>0</v>
      </c>
      <c r="G66" s="83">
        <f t="shared" si="19"/>
        <v>0</v>
      </c>
      <c r="H66" s="83">
        <f t="shared" si="19"/>
        <v>0</v>
      </c>
      <c r="I66" s="83">
        <f t="shared" si="19"/>
        <v>0</v>
      </c>
      <c r="J66" s="83">
        <f t="shared" si="19"/>
        <v>0</v>
      </c>
      <c r="K66" s="83">
        <f t="shared" si="19"/>
        <v>0</v>
      </c>
      <c r="L66" s="83">
        <f t="shared" si="19"/>
        <v>0</v>
      </c>
      <c r="M66" s="83">
        <f t="shared" si="19"/>
        <v>0</v>
      </c>
      <c r="N66" s="59">
        <f t="shared" si="14"/>
        <v>0</v>
      </c>
      <c r="O66" s="29" t="str">
        <f>IF((N66-Budget!D104)&lt;2,IF((N66-Budget!D104)&gt;-2,"Yes","No"),"No")</f>
        <v>Yes</v>
      </c>
    </row>
    <row r="67" spans="1:15" x14ac:dyDescent="0.35">
      <c r="A67" s="67" t="str">
        <f>Budget!A105</f>
        <v>Legal Fees</v>
      </c>
      <c r="B67" s="84">
        <f>Budget!D105/12</f>
        <v>104.16666666666667</v>
      </c>
      <c r="C67" s="84">
        <f>B67</f>
        <v>104.16666666666667</v>
      </c>
      <c r="D67" s="84">
        <f t="shared" si="19"/>
        <v>104.16666666666667</v>
      </c>
      <c r="E67" s="84">
        <f t="shared" si="19"/>
        <v>104.16666666666667</v>
      </c>
      <c r="F67" s="84">
        <f t="shared" si="19"/>
        <v>104.16666666666667</v>
      </c>
      <c r="G67" s="84">
        <f t="shared" si="19"/>
        <v>104.16666666666667</v>
      </c>
      <c r="H67" s="84">
        <f t="shared" si="19"/>
        <v>104.16666666666667</v>
      </c>
      <c r="I67" s="84">
        <f t="shared" si="19"/>
        <v>104.16666666666667</v>
      </c>
      <c r="J67" s="84">
        <f t="shared" si="19"/>
        <v>104.16666666666667</v>
      </c>
      <c r="K67" s="84">
        <f t="shared" si="19"/>
        <v>104.16666666666667</v>
      </c>
      <c r="L67" s="84">
        <f t="shared" si="19"/>
        <v>104.16666666666667</v>
      </c>
      <c r="M67" s="84">
        <f t="shared" si="19"/>
        <v>104.16666666666667</v>
      </c>
      <c r="N67" s="61">
        <f t="shared" si="14"/>
        <v>1250</v>
      </c>
      <c r="O67" s="28" t="str">
        <f>IF((N67-Budget!D105)&lt;2,IF((N67-Budget!D105)&gt;-2,"Yes","No"),"No")</f>
        <v>Yes</v>
      </c>
    </row>
    <row r="68" spans="1:15" x14ac:dyDescent="0.35">
      <c r="A68" s="68" t="str">
        <f>Budget!A106</f>
        <v>Liability and Property Insurance</v>
      </c>
      <c r="B68" s="83">
        <v>0</v>
      </c>
      <c r="C68" s="83">
        <f>Budget!D106/11</f>
        <v>1267.2727272727273</v>
      </c>
      <c r="D68" s="83">
        <f t="shared" si="19"/>
        <v>1267.2727272727273</v>
      </c>
      <c r="E68" s="83">
        <f t="shared" si="19"/>
        <v>1267.2727272727273</v>
      </c>
      <c r="F68" s="83">
        <f t="shared" si="19"/>
        <v>1267.2727272727273</v>
      </c>
      <c r="G68" s="83">
        <f t="shared" si="19"/>
        <v>1267.2727272727273</v>
      </c>
      <c r="H68" s="83">
        <f t="shared" si="19"/>
        <v>1267.2727272727273</v>
      </c>
      <c r="I68" s="83">
        <f t="shared" si="19"/>
        <v>1267.2727272727273</v>
      </c>
      <c r="J68" s="83">
        <f t="shared" si="19"/>
        <v>1267.2727272727273</v>
      </c>
      <c r="K68" s="83">
        <f t="shared" si="19"/>
        <v>1267.2727272727273</v>
      </c>
      <c r="L68" s="83">
        <f t="shared" si="19"/>
        <v>1267.2727272727273</v>
      </c>
      <c r="M68" s="83">
        <f t="shared" si="19"/>
        <v>1267.2727272727273</v>
      </c>
      <c r="N68" s="59">
        <f t="shared" si="14"/>
        <v>13940</v>
      </c>
      <c r="O68" s="29" t="str">
        <f>IF((N68-Budget!D106)&lt;2,IF((N68-Budget!D106)&gt;-2,"Yes","No"),"No")</f>
        <v>Yes</v>
      </c>
    </row>
    <row r="69" spans="1:15" x14ac:dyDescent="0.35">
      <c r="A69" s="67" t="str">
        <f>Budget!A107</f>
        <v>Staff Development</v>
      </c>
      <c r="B69" s="84">
        <v>1000</v>
      </c>
      <c r="C69" s="84">
        <v>200</v>
      </c>
      <c r="D69" s="84">
        <v>200</v>
      </c>
      <c r="E69" s="84">
        <v>200</v>
      </c>
      <c r="F69" s="84">
        <v>200</v>
      </c>
      <c r="G69" s="84">
        <v>200</v>
      </c>
      <c r="H69" s="84">
        <v>550</v>
      </c>
      <c r="I69" s="84">
        <v>200</v>
      </c>
      <c r="J69" s="84">
        <v>200</v>
      </c>
      <c r="K69" s="84">
        <v>200</v>
      </c>
      <c r="L69" s="84">
        <v>200</v>
      </c>
      <c r="M69" s="84">
        <v>550</v>
      </c>
      <c r="N69" s="61">
        <f t="shared" si="14"/>
        <v>3900</v>
      </c>
      <c r="O69" s="28" t="str">
        <f>IF((N69-Budget!D107)&lt;2,IF((N69-Budget!D107)&gt;-2,"Yes","No"),"No")</f>
        <v>Yes</v>
      </c>
    </row>
    <row r="70" spans="1:15" x14ac:dyDescent="0.35">
      <c r="A70" s="68" t="str">
        <f>Budget!A108</f>
        <v>Special Education Contracted Services</v>
      </c>
      <c r="B70" s="83">
        <v>0</v>
      </c>
      <c r="C70" s="83">
        <v>2624</v>
      </c>
      <c r="D70" s="83">
        <v>4500</v>
      </c>
      <c r="E70" s="83">
        <v>1822</v>
      </c>
      <c r="F70" s="83">
        <v>1822</v>
      </c>
      <c r="G70" s="83">
        <v>2500</v>
      </c>
      <c r="H70" s="83">
        <v>4500</v>
      </c>
      <c r="I70" s="83">
        <v>1822</v>
      </c>
      <c r="J70" s="83">
        <v>1822</v>
      </c>
      <c r="K70" s="83">
        <v>1822</v>
      </c>
      <c r="L70" s="83">
        <v>1822</v>
      </c>
      <c r="M70" s="83">
        <v>0</v>
      </c>
      <c r="N70" s="59">
        <f t="shared" si="14"/>
        <v>25056</v>
      </c>
      <c r="O70" s="29" t="str">
        <f>IF((N70-Budget!D108)&lt;2,IF((N70-Budget!D108)&gt;-2,"Yes","No"),"No")</f>
        <v>Yes</v>
      </c>
    </row>
    <row r="71" spans="1:15" x14ac:dyDescent="0.35">
      <c r="A71" s="67" t="str">
        <f>Budget!A109</f>
        <v>Health Services and Supplies</v>
      </c>
      <c r="B71" s="84">
        <v>0</v>
      </c>
      <c r="C71" s="84">
        <f>Budget!D109/11</f>
        <v>1767.2727272727273</v>
      </c>
      <c r="D71" s="84">
        <f>C71</f>
        <v>1767.2727272727273</v>
      </c>
      <c r="E71" s="84">
        <f t="shared" ref="E71:M71" si="20">D71</f>
        <v>1767.2727272727273</v>
      </c>
      <c r="F71" s="84">
        <f t="shared" si="20"/>
        <v>1767.2727272727273</v>
      </c>
      <c r="G71" s="84">
        <f t="shared" si="20"/>
        <v>1767.2727272727273</v>
      </c>
      <c r="H71" s="84">
        <f t="shared" si="20"/>
        <v>1767.2727272727273</v>
      </c>
      <c r="I71" s="84">
        <f t="shared" si="20"/>
        <v>1767.2727272727273</v>
      </c>
      <c r="J71" s="84">
        <f t="shared" si="20"/>
        <v>1767.2727272727273</v>
      </c>
      <c r="K71" s="84">
        <f t="shared" si="20"/>
        <v>1767.2727272727273</v>
      </c>
      <c r="L71" s="84">
        <f t="shared" si="20"/>
        <v>1767.2727272727273</v>
      </c>
      <c r="M71" s="84">
        <f t="shared" si="20"/>
        <v>1767.2727272727273</v>
      </c>
      <c r="N71" s="61">
        <f t="shared" si="14"/>
        <v>19440</v>
      </c>
      <c r="O71" s="28" t="str">
        <f>IF((N71-Budget!D109)&lt;2,IF((N71-Budget!D109)&gt;-2,"Yes","No"),"No")</f>
        <v>Yes</v>
      </c>
    </row>
    <row r="72" spans="1:15" x14ac:dyDescent="0.35">
      <c r="A72" s="68" t="str">
        <f>Budget!A110</f>
        <v>Staff Recruitment</v>
      </c>
      <c r="B72" s="83">
        <v>500</v>
      </c>
      <c r="C72" s="83">
        <v>500</v>
      </c>
      <c r="D72" s="83">
        <v>0</v>
      </c>
      <c r="E72" s="83">
        <v>0</v>
      </c>
      <c r="F72" s="83">
        <v>0</v>
      </c>
      <c r="G72" s="83">
        <v>0</v>
      </c>
      <c r="H72" s="83">
        <v>0</v>
      </c>
      <c r="I72" s="83">
        <v>500</v>
      </c>
      <c r="J72" s="83">
        <v>250</v>
      </c>
      <c r="K72" s="83">
        <v>0</v>
      </c>
      <c r="L72" s="83">
        <v>250</v>
      </c>
      <c r="M72" s="83">
        <v>0</v>
      </c>
      <c r="N72" s="59">
        <f t="shared" si="14"/>
        <v>2000</v>
      </c>
      <c r="O72" s="29" t="str">
        <f>IF((N72-Budget!D110)&lt;2,IF((N72-Budget!D110)&gt;-2,"Yes","No"),"No")</f>
        <v>Yes</v>
      </c>
    </row>
    <row r="73" spans="1:15" x14ac:dyDescent="0.35">
      <c r="A73" s="67" t="str">
        <f>Budget!A111</f>
        <v>Student Recruitment</v>
      </c>
      <c r="B73" s="84">
        <v>575</v>
      </c>
      <c r="C73" s="84">
        <v>300</v>
      </c>
      <c r="D73" s="84"/>
      <c r="E73" s="84"/>
      <c r="F73" s="84"/>
      <c r="G73" s="84">
        <v>575</v>
      </c>
      <c r="H73" s="84"/>
      <c r="I73" s="84"/>
      <c r="J73" s="84">
        <v>575</v>
      </c>
      <c r="K73" s="84"/>
      <c r="L73" s="84"/>
      <c r="M73" s="84">
        <v>200</v>
      </c>
      <c r="N73" s="61">
        <f t="shared" si="14"/>
        <v>2225</v>
      </c>
      <c r="O73" s="28" t="str">
        <f>IF((N73-Budget!D111)&lt;2,IF((N73-Budget!D111)&gt;-2,"Yes","No"),"No")</f>
        <v>Yes</v>
      </c>
    </row>
    <row r="74" spans="1:15" x14ac:dyDescent="0.35">
      <c r="A74" s="68" t="str">
        <f>Budget!A112</f>
        <v>Technology Support</v>
      </c>
      <c r="B74" s="83">
        <f>Budget!D112/12</f>
        <v>432</v>
      </c>
      <c r="C74" s="83">
        <f>B74</f>
        <v>432</v>
      </c>
      <c r="D74" s="83">
        <f t="shared" ref="D74:M74" si="21">C74</f>
        <v>432</v>
      </c>
      <c r="E74" s="83">
        <f t="shared" si="21"/>
        <v>432</v>
      </c>
      <c r="F74" s="83">
        <f t="shared" si="21"/>
        <v>432</v>
      </c>
      <c r="G74" s="83">
        <f t="shared" si="21"/>
        <v>432</v>
      </c>
      <c r="H74" s="83">
        <f t="shared" si="21"/>
        <v>432</v>
      </c>
      <c r="I74" s="83">
        <f t="shared" si="21"/>
        <v>432</v>
      </c>
      <c r="J74" s="83">
        <f t="shared" si="21"/>
        <v>432</v>
      </c>
      <c r="K74" s="83">
        <f t="shared" si="21"/>
        <v>432</v>
      </c>
      <c r="L74" s="83">
        <f t="shared" si="21"/>
        <v>432</v>
      </c>
      <c r="M74" s="83">
        <f t="shared" si="21"/>
        <v>432</v>
      </c>
      <c r="N74" s="59">
        <f t="shared" si="14"/>
        <v>5184</v>
      </c>
      <c r="O74" s="29" t="str">
        <f>IF((N74-Budget!D112)&lt;2,IF((N74-Budget!D112)&gt;-2,"Yes","No"),"No")</f>
        <v>Yes</v>
      </c>
    </row>
    <row r="75" spans="1:15" x14ac:dyDescent="0.35">
      <c r="A75" s="67" t="str">
        <f>Budget!A113</f>
        <v>Phone/Internet Service</v>
      </c>
      <c r="B75" s="84">
        <f>Budget!D113/12</f>
        <v>76.5</v>
      </c>
      <c r="C75" s="84">
        <f>B75</f>
        <v>76.5</v>
      </c>
      <c r="D75" s="84">
        <f t="shared" ref="D75:M75" si="22">C75</f>
        <v>76.5</v>
      </c>
      <c r="E75" s="84">
        <f t="shared" si="22"/>
        <v>76.5</v>
      </c>
      <c r="F75" s="84">
        <f t="shared" si="22"/>
        <v>76.5</v>
      </c>
      <c r="G75" s="84">
        <f t="shared" si="22"/>
        <v>76.5</v>
      </c>
      <c r="H75" s="84">
        <f t="shared" si="22"/>
        <v>76.5</v>
      </c>
      <c r="I75" s="84">
        <f t="shared" si="22"/>
        <v>76.5</v>
      </c>
      <c r="J75" s="84">
        <f t="shared" si="22"/>
        <v>76.5</v>
      </c>
      <c r="K75" s="84">
        <f t="shared" si="22"/>
        <v>76.5</v>
      </c>
      <c r="L75" s="84">
        <f t="shared" si="22"/>
        <v>76.5</v>
      </c>
      <c r="M75" s="84">
        <f t="shared" si="22"/>
        <v>76.5</v>
      </c>
      <c r="N75" s="61">
        <f t="shared" si="14"/>
        <v>918</v>
      </c>
      <c r="O75" s="28" t="str">
        <f>IF((N75-Budget!D113)&lt;2,IF((N75-Budget!D113)&gt;-2,"Yes","No"),"No")</f>
        <v>Yes</v>
      </c>
    </row>
    <row r="76" spans="1:15" x14ac:dyDescent="0.35">
      <c r="A76" s="68" t="str">
        <f>Budget!A114</f>
        <v>Food Service</v>
      </c>
      <c r="B76" s="83">
        <v>0</v>
      </c>
      <c r="C76" s="83">
        <f xml:space="preserve"> Budget!D114/10</f>
        <v>21384</v>
      </c>
      <c r="D76" s="83">
        <f t="shared" ref="D76:L76" si="23">C76</f>
        <v>21384</v>
      </c>
      <c r="E76" s="83">
        <f t="shared" si="23"/>
        <v>21384</v>
      </c>
      <c r="F76" s="83">
        <f t="shared" si="23"/>
        <v>21384</v>
      </c>
      <c r="G76" s="83">
        <f t="shared" si="23"/>
        <v>21384</v>
      </c>
      <c r="H76" s="83">
        <f t="shared" si="23"/>
        <v>21384</v>
      </c>
      <c r="I76" s="83">
        <f t="shared" si="23"/>
        <v>21384</v>
      </c>
      <c r="J76" s="83">
        <f t="shared" si="23"/>
        <v>21384</v>
      </c>
      <c r="K76" s="83">
        <f t="shared" si="23"/>
        <v>21384</v>
      </c>
      <c r="L76" s="83">
        <f t="shared" si="23"/>
        <v>21384</v>
      </c>
      <c r="M76" s="83">
        <v>0</v>
      </c>
      <c r="N76" s="59">
        <f t="shared" si="14"/>
        <v>213840</v>
      </c>
      <c r="O76" s="29" t="str">
        <f>IF((N76-Budget!D114)&lt;2,IF((N76-Budget!D114)&gt;-2,"Yes","No"),"No")</f>
        <v>Yes</v>
      </c>
    </row>
    <row r="77" spans="1:15" x14ac:dyDescent="0.35">
      <c r="A77" s="67" t="str">
        <f>Budget!A115</f>
        <v>Transportation</v>
      </c>
      <c r="B77" s="82">
        <v>0</v>
      </c>
      <c r="C77" s="82">
        <f>192.5*19</f>
        <v>3657.5</v>
      </c>
      <c r="D77" s="82">
        <f>192.5*20</f>
        <v>3850</v>
      </c>
      <c r="E77" s="82">
        <f>192.5*19</f>
        <v>3657.5</v>
      </c>
      <c r="F77" s="82">
        <f>192.5*16</f>
        <v>3080</v>
      </c>
      <c r="G77" s="82">
        <f>192.5*11</f>
        <v>2117.5</v>
      </c>
      <c r="H77" s="82">
        <f>192.5*21</f>
        <v>4042.5</v>
      </c>
      <c r="I77" s="82">
        <f>192.5*20</f>
        <v>3850</v>
      </c>
      <c r="J77" s="82">
        <f>192.5*19</f>
        <v>3657.5</v>
      </c>
      <c r="K77" s="82">
        <f>192.5*17</f>
        <v>3272.5</v>
      </c>
      <c r="L77" s="82">
        <f>192.5*18</f>
        <v>3465</v>
      </c>
      <c r="M77" s="82">
        <v>0</v>
      </c>
      <c r="N77" s="61">
        <f t="shared" si="14"/>
        <v>34650</v>
      </c>
      <c r="O77" s="28" t="str">
        <f>IF((N77-Budget!D115)&lt;2,IF((N77-Budget!D115)&gt;-2,"Yes","No"),"No")</f>
        <v>Yes</v>
      </c>
    </row>
    <row r="78" spans="1:15" x14ac:dyDescent="0.35">
      <c r="A78" s="68" t="str">
        <f>Budget!A116</f>
        <v>Pest Control</v>
      </c>
      <c r="B78" s="83">
        <f>Budget!D116/12</f>
        <v>12.5</v>
      </c>
      <c r="C78" s="83">
        <f>B78</f>
        <v>12.5</v>
      </c>
      <c r="D78" s="83">
        <f t="shared" ref="D78:M80" si="24">C78</f>
        <v>12.5</v>
      </c>
      <c r="E78" s="83">
        <f t="shared" si="24"/>
        <v>12.5</v>
      </c>
      <c r="F78" s="83">
        <f t="shared" si="24"/>
        <v>12.5</v>
      </c>
      <c r="G78" s="83">
        <f t="shared" si="24"/>
        <v>12.5</v>
      </c>
      <c r="H78" s="83">
        <f t="shared" si="24"/>
        <v>12.5</v>
      </c>
      <c r="I78" s="83">
        <f t="shared" si="24"/>
        <v>12.5</v>
      </c>
      <c r="J78" s="83">
        <f t="shared" si="24"/>
        <v>12.5</v>
      </c>
      <c r="K78" s="83">
        <f t="shared" si="24"/>
        <v>12.5</v>
      </c>
      <c r="L78" s="83">
        <f t="shared" si="24"/>
        <v>12.5</v>
      </c>
      <c r="M78" s="83">
        <f t="shared" si="24"/>
        <v>12.5</v>
      </c>
      <c r="N78" s="59">
        <f t="shared" si="14"/>
        <v>150</v>
      </c>
      <c r="O78" s="29" t="str">
        <f>IF((N78-Budget!D116)&lt;2,IF((N78-Budget!D116)&gt;-2,"Yes","No"),"No")</f>
        <v>Yes</v>
      </c>
    </row>
    <row r="79" spans="1:15" x14ac:dyDescent="0.35">
      <c r="A79" s="67" t="str">
        <f>Budget!A117</f>
        <v>Janitorial Supplies and Services</v>
      </c>
      <c r="B79" s="84">
        <f>Budget!D117/12</f>
        <v>426.66666666666669</v>
      </c>
      <c r="C79" s="84">
        <f>B79</f>
        <v>426.66666666666669</v>
      </c>
      <c r="D79" s="84">
        <f t="shared" si="24"/>
        <v>426.66666666666669</v>
      </c>
      <c r="E79" s="84">
        <f t="shared" si="24"/>
        <v>426.66666666666669</v>
      </c>
      <c r="F79" s="84">
        <f t="shared" si="24"/>
        <v>426.66666666666669</v>
      </c>
      <c r="G79" s="84">
        <f t="shared" si="24"/>
        <v>426.66666666666669</v>
      </c>
      <c r="H79" s="84">
        <f t="shared" si="24"/>
        <v>426.66666666666669</v>
      </c>
      <c r="I79" s="84">
        <f t="shared" si="24"/>
        <v>426.66666666666669</v>
      </c>
      <c r="J79" s="84">
        <f t="shared" si="24"/>
        <v>426.66666666666669</v>
      </c>
      <c r="K79" s="84">
        <f t="shared" si="24"/>
        <v>426.66666666666669</v>
      </c>
      <c r="L79" s="84">
        <f t="shared" si="24"/>
        <v>426.66666666666669</v>
      </c>
      <c r="M79" s="84">
        <f t="shared" si="24"/>
        <v>426.66666666666669</v>
      </c>
      <c r="N79" s="61">
        <f t="shared" si="14"/>
        <v>5120</v>
      </c>
      <c r="O79" s="28" t="str">
        <f>IF((N79-Budget!D117)&lt;2,IF((N79-Budget!D117)&gt;-2,"Yes","No"),"No")</f>
        <v>Yes</v>
      </c>
    </row>
    <row r="80" spans="1:15" x14ac:dyDescent="0.35">
      <c r="A80" s="68" t="str">
        <f>Budget!A118</f>
        <v>Waste Disposal</v>
      </c>
      <c r="B80" s="83">
        <f>Budget!D118/12</f>
        <v>67</v>
      </c>
      <c r="C80" s="83">
        <f>B80</f>
        <v>67</v>
      </c>
      <c r="D80" s="83">
        <f t="shared" si="24"/>
        <v>67</v>
      </c>
      <c r="E80" s="83">
        <f t="shared" si="24"/>
        <v>67</v>
      </c>
      <c r="F80" s="83">
        <f t="shared" si="24"/>
        <v>67</v>
      </c>
      <c r="G80" s="83">
        <f t="shared" si="24"/>
        <v>67</v>
      </c>
      <c r="H80" s="83">
        <f t="shared" si="24"/>
        <v>67</v>
      </c>
      <c r="I80" s="83">
        <f t="shared" si="24"/>
        <v>67</v>
      </c>
      <c r="J80" s="83">
        <f t="shared" si="24"/>
        <v>67</v>
      </c>
      <c r="K80" s="83">
        <f t="shared" si="24"/>
        <v>67</v>
      </c>
      <c r="L80" s="83">
        <f t="shared" si="24"/>
        <v>67</v>
      </c>
      <c r="M80" s="83">
        <f t="shared" si="24"/>
        <v>67</v>
      </c>
      <c r="N80" s="59">
        <f t="shared" si="14"/>
        <v>804</v>
      </c>
      <c r="O80" s="29" t="str">
        <f>IF((N80-Budget!D118)&lt;2,IF((N80-Budget!D118)&gt;-2,"Yes","No"),"No")</f>
        <v>Yes</v>
      </c>
    </row>
    <row r="81" spans="1:15" x14ac:dyDescent="0.35">
      <c r="A81" s="67" t="str">
        <f>Budget!A119</f>
        <v>Marketing</v>
      </c>
      <c r="B81" s="84">
        <v>5242</v>
      </c>
      <c r="C81" s="84">
        <v>1000</v>
      </c>
      <c r="D81" s="84">
        <v>500</v>
      </c>
      <c r="E81" s="84">
        <v>250</v>
      </c>
      <c r="F81" s="84">
        <v>250</v>
      </c>
      <c r="G81" s="84">
        <v>250</v>
      </c>
      <c r="H81" s="84">
        <v>500</v>
      </c>
      <c r="I81" s="84">
        <v>250</v>
      </c>
      <c r="J81" s="84">
        <v>250</v>
      </c>
      <c r="K81" s="84">
        <v>250</v>
      </c>
      <c r="L81" s="84">
        <v>1000</v>
      </c>
      <c r="M81" s="84">
        <v>5000</v>
      </c>
      <c r="N81" s="61">
        <f t="shared" si="14"/>
        <v>14742</v>
      </c>
      <c r="O81" s="28" t="str">
        <f>IF((N81-Budget!D119)&lt;2,IF((N81-Budget!D119)&gt;-2,"Yes","No"),"No")</f>
        <v>Yes</v>
      </c>
    </row>
    <row r="82" spans="1:15" ht="29" x14ac:dyDescent="0.35">
      <c r="A82" s="68" t="str">
        <f>Budget!A120</f>
        <v>EMO (Educational Mgt Organization)/CMO (Charter Mgt. Organization) Fees</v>
      </c>
      <c r="B82" s="83">
        <f>Budget!D120/12</f>
        <v>0</v>
      </c>
      <c r="C82" s="83">
        <f>B82</f>
        <v>0</v>
      </c>
      <c r="D82" s="83">
        <f t="shared" ref="D82:M82" si="25">C82</f>
        <v>0</v>
      </c>
      <c r="E82" s="83">
        <f t="shared" si="25"/>
        <v>0</v>
      </c>
      <c r="F82" s="83">
        <f t="shared" si="25"/>
        <v>0</v>
      </c>
      <c r="G82" s="83">
        <f t="shared" si="25"/>
        <v>0</v>
      </c>
      <c r="H82" s="83">
        <f t="shared" si="25"/>
        <v>0</v>
      </c>
      <c r="I82" s="83">
        <f t="shared" si="25"/>
        <v>0</v>
      </c>
      <c r="J82" s="83">
        <f t="shared" si="25"/>
        <v>0</v>
      </c>
      <c r="K82" s="83">
        <f t="shared" si="25"/>
        <v>0</v>
      </c>
      <c r="L82" s="83">
        <f t="shared" si="25"/>
        <v>0</v>
      </c>
      <c r="M82" s="83">
        <f t="shared" si="25"/>
        <v>0</v>
      </c>
      <c r="N82" s="59">
        <f t="shared" si="14"/>
        <v>0</v>
      </c>
      <c r="O82" s="29" t="str">
        <f>IF((N82-Budget!D120)&lt;2,IF((N82-Budget!D120)&gt;-2,"Yes","No"),"No")</f>
        <v>Yes</v>
      </c>
    </row>
    <row r="83" spans="1:15" x14ac:dyDescent="0.35">
      <c r="A83" s="69">
        <f>Budget!A121</f>
        <v>0</v>
      </c>
      <c r="B83" s="84"/>
      <c r="C83" s="84"/>
      <c r="D83" s="84"/>
      <c r="E83" s="84"/>
      <c r="F83" s="84"/>
      <c r="G83" s="84"/>
      <c r="H83" s="84"/>
      <c r="I83" s="84"/>
      <c r="J83" s="84"/>
      <c r="K83" s="84"/>
      <c r="L83" s="84"/>
      <c r="M83" s="84"/>
      <c r="N83" s="61">
        <f t="shared" si="14"/>
        <v>0</v>
      </c>
      <c r="O83" s="28" t="str">
        <f>IF((N83-Budget!D121)&lt;2,IF((N83-Budget!D121)&gt;-2,"Yes","No"),"No")</f>
        <v>Yes</v>
      </c>
    </row>
    <row r="84" spans="1:15" x14ac:dyDescent="0.35">
      <c r="A84" s="68">
        <f>Budget!A122</f>
        <v>0</v>
      </c>
      <c r="B84" s="83"/>
      <c r="C84" s="83"/>
      <c r="D84" s="83"/>
      <c r="E84" s="83"/>
      <c r="F84" s="83"/>
      <c r="G84" s="83"/>
      <c r="H84" s="83"/>
      <c r="I84" s="83"/>
      <c r="J84" s="83"/>
      <c r="K84" s="83"/>
      <c r="L84" s="83"/>
      <c r="M84" s="83"/>
      <c r="N84" s="59">
        <f t="shared" si="14"/>
        <v>0</v>
      </c>
      <c r="O84" s="29" t="str">
        <f>IF((N84-Budget!D122)&lt;2,IF((N84-Budget!D122)&gt;-2,"Yes","No"),"No")</f>
        <v>Yes</v>
      </c>
    </row>
    <row r="85" spans="1:15" ht="15.5" x14ac:dyDescent="0.35">
      <c r="A85" s="70" t="str">
        <f>Budget!A123</f>
        <v>Total Services and Supplies Expenses</v>
      </c>
      <c r="B85" s="72">
        <f t="shared" ref="B85:M85" si="26">SUM(B56:B84)</f>
        <v>10735.833333333332</v>
      </c>
      <c r="C85" s="72">
        <f t="shared" si="26"/>
        <v>38094.878787878784</v>
      </c>
      <c r="D85" s="72">
        <f t="shared" si="26"/>
        <v>36453.378787878784</v>
      </c>
      <c r="E85" s="72">
        <f t="shared" si="26"/>
        <v>33332.878787878784</v>
      </c>
      <c r="F85" s="72">
        <f t="shared" si="26"/>
        <v>32755.378787878788</v>
      </c>
      <c r="G85" s="72">
        <f t="shared" si="26"/>
        <v>33045.878787878784</v>
      </c>
      <c r="H85" s="72">
        <f t="shared" si="26"/>
        <v>39155.878787878784</v>
      </c>
      <c r="I85" s="72">
        <f t="shared" si="26"/>
        <v>34025.378787878784</v>
      </c>
      <c r="J85" s="72">
        <f t="shared" si="26"/>
        <v>34157.878787878784</v>
      </c>
      <c r="K85" s="72">
        <f t="shared" si="26"/>
        <v>32947.878787878784</v>
      </c>
      <c r="L85" s="72">
        <f t="shared" si="26"/>
        <v>34388.378787878784</v>
      </c>
      <c r="M85" s="72">
        <f t="shared" si="26"/>
        <v>11703.378787878788</v>
      </c>
      <c r="N85" s="63">
        <f t="shared" ref="N85" si="27">SUM(B85:M85)</f>
        <v>370797</v>
      </c>
      <c r="O85" s="28" t="str">
        <f>IF((N85-Budget!D123)&lt;3,IF((N85-Budget!D123)&gt;-3,"Yes","No"),"No")</f>
        <v>Yes</v>
      </c>
    </row>
    <row r="86" spans="1:15" ht="18.5" x14ac:dyDescent="0.45">
      <c r="A86" s="172" t="str">
        <f>Budget!A124</f>
        <v>Facilities</v>
      </c>
      <c r="B86" s="173"/>
      <c r="C86" s="173"/>
      <c r="D86" s="173"/>
      <c r="E86" s="173"/>
      <c r="F86" s="173"/>
      <c r="G86" s="173"/>
      <c r="H86" s="173"/>
      <c r="I86" s="173"/>
      <c r="J86" s="173"/>
      <c r="K86" s="173"/>
      <c r="L86" s="173"/>
      <c r="M86" s="173"/>
      <c r="N86" s="173"/>
      <c r="O86" s="174"/>
    </row>
    <row r="87" spans="1:15" x14ac:dyDescent="0.35">
      <c r="A87" s="68" t="str">
        <f>Budget!A125</f>
        <v>Rent/Lease/Mortgage</v>
      </c>
      <c r="B87" s="81">
        <f>Budget!D125/12</f>
        <v>7993.6833333333334</v>
      </c>
      <c r="C87" s="81">
        <f>B87</f>
        <v>7993.6833333333334</v>
      </c>
      <c r="D87" s="81">
        <f t="shared" ref="D87:M87" si="28">C87</f>
        <v>7993.6833333333334</v>
      </c>
      <c r="E87" s="81">
        <f t="shared" si="28"/>
        <v>7993.6833333333334</v>
      </c>
      <c r="F87" s="81">
        <f t="shared" si="28"/>
        <v>7993.6833333333334</v>
      </c>
      <c r="G87" s="81">
        <f t="shared" si="28"/>
        <v>7993.6833333333334</v>
      </c>
      <c r="H87" s="81">
        <f t="shared" si="28"/>
        <v>7993.6833333333334</v>
      </c>
      <c r="I87" s="81">
        <f t="shared" si="28"/>
        <v>7993.6833333333334</v>
      </c>
      <c r="J87" s="81">
        <f t="shared" si="28"/>
        <v>7993.6833333333334</v>
      </c>
      <c r="K87" s="81">
        <f t="shared" si="28"/>
        <v>7993.6833333333334</v>
      </c>
      <c r="L87" s="81">
        <f t="shared" si="28"/>
        <v>7993.6833333333334</v>
      </c>
      <c r="M87" s="81">
        <f t="shared" si="28"/>
        <v>7993.6833333333334</v>
      </c>
      <c r="N87" s="59">
        <f t="shared" ref="N87:N94" si="29">ROUND(SUM(B87:M87),0)</f>
        <v>95924</v>
      </c>
      <c r="O87" s="29" t="str">
        <f>IF((N87-Budget!D125)&lt;2,IF((N87-Budget!D125)&gt;-2,"Yes","No"),"No")</f>
        <v>Yes</v>
      </c>
    </row>
    <row r="88" spans="1:15" x14ac:dyDescent="0.35">
      <c r="A88" s="67" t="str">
        <f>Budget!A126</f>
        <v>Grounds Maintenance</v>
      </c>
      <c r="B88" s="19">
        <f>Budget!D126/12</f>
        <v>0</v>
      </c>
      <c r="C88" s="19">
        <f>B88</f>
        <v>0</v>
      </c>
      <c r="D88" s="19">
        <f t="shared" ref="D88:M88" si="30">C88</f>
        <v>0</v>
      </c>
      <c r="E88" s="19">
        <f t="shared" si="30"/>
        <v>0</v>
      </c>
      <c r="F88" s="19">
        <f t="shared" si="30"/>
        <v>0</v>
      </c>
      <c r="G88" s="19">
        <f t="shared" si="30"/>
        <v>0</v>
      </c>
      <c r="H88" s="19">
        <f t="shared" si="30"/>
        <v>0</v>
      </c>
      <c r="I88" s="19">
        <f t="shared" si="30"/>
        <v>0</v>
      </c>
      <c r="J88" s="19">
        <f t="shared" si="30"/>
        <v>0</v>
      </c>
      <c r="K88" s="19">
        <f t="shared" si="30"/>
        <v>0</v>
      </c>
      <c r="L88" s="19">
        <f t="shared" si="30"/>
        <v>0</v>
      </c>
      <c r="M88" s="19">
        <f t="shared" si="30"/>
        <v>0</v>
      </c>
      <c r="N88" s="61">
        <f t="shared" si="29"/>
        <v>0</v>
      </c>
      <c r="O88" s="28" t="str">
        <f>IF((N88-Budget!D126)&lt;2,IF((N88-Budget!D126)&gt;-2,"Yes","No"),"No")</f>
        <v>Yes</v>
      </c>
    </row>
    <row r="89" spans="1:15" x14ac:dyDescent="0.35">
      <c r="A89" s="68" t="str">
        <f>Budget!A127</f>
        <v>Facility Maintenance and Repair</v>
      </c>
      <c r="B89" s="81">
        <f>Budget!D127/12</f>
        <v>1333.3333333333333</v>
      </c>
      <c r="C89" s="81">
        <f>B89</f>
        <v>1333.3333333333333</v>
      </c>
      <c r="D89" s="81">
        <f t="shared" ref="D89:M89" si="31">C89</f>
        <v>1333.3333333333333</v>
      </c>
      <c r="E89" s="81">
        <f t="shared" si="31"/>
        <v>1333.3333333333333</v>
      </c>
      <c r="F89" s="81">
        <f t="shared" si="31"/>
        <v>1333.3333333333333</v>
      </c>
      <c r="G89" s="81">
        <f t="shared" si="31"/>
        <v>1333.3333333333333</v>
      </c>
      <c r="H89" s="81">
        <f t="shared" si="31"/>
        <v>1333.3333333333333</v>
      </c>
      <c r="I89" s="81">
        <f t="shared" si="31"/>
        <v>1333.3333333333333</v>
      </c>
      <c r="J89" s="81">
        <f t="shared" si="31"/>
        <v>1333.3333333333333</v>
      </c>
      <c r="K89" s="81">
        <f t="shared" si="31"/>
        <v>1333.3333333333333</v>
      </c>
      <c r="L89" s="81">
        <f t="shared" si="31"/>
        <v>1333.3333333333333</v>
      </c>
      <c r="M89" s="81">
        <f t="shared" si="31"/>
        <v>1333.3333333333333</v>
      </c>
      <c r="N89" s="59">
        <f t="shared" si="29"/>
        <v>16000</v>
      </c>
      <c r="O89" s="29" t="str">
        <f>IF((N89-Budget!D127)&lt;2,IF((N89-Budget!D127)&gt;-2,"Yes","No"),"No")</f>
        <v>Yes</v>
      </c>
    </row>
    <row r="90" spans="1:15" x14ac:dyDescent="0.35">
      <c r="A90" s="67" t="str">
        <f>Budget!A128</f>
        <v>Utilities</v>
      </c>
      <c r="B90" s="19">
        <f>Budget!D128/12</f>
        <v>2500</v>
      </c>
      <c r="C90" s="19">
        <f>B90</f>
        <v>2500</v>
      </c>
      <c r="D90" s="19">
        <f t="shared" ref="D90:M90" si="32">C90</f>
        <v>2500</v>
      </c>
      <c r="E90" s="19">
        <f t="shared" si="32"/>
        <v>2500</v>
      </c>
      <c r="F90" s="19">
        <f t="shared" si="32"/>
        <v>2500</v>
      </c>
      <c r="G90" s="19">
        <f t="shared" si="32"/>
        <v>2500</v>
      </c>
      <c r="H90" s="19">
        <f t="shared" si="32"/>
        <v>2500</v>
      </c>
      <c r="I90" s="19">
        <f t="shared" si="32"/>
        <v>2500</v>
      </c>
      <c r="J90" s="19">
        <f t="shared" si="32"/>
        <v>2500</v>
      </c>
      <c r="K90" s="19">
        <f t="shared" si="32"/>
        <v>2500</v>
      </c>
      <c r="L90" s="19">
        <f t="shared" si="32"/>
        <v>2500</v>
      </c>
      <c r="M90" s="19">
        <f t="shared" si="32"/>
        <v>2500</v>
      </c>
      <c r="N90" s="61">
        <f t="shared" si="29"/>
        <v>30000</v>
      </c>
      <c r="O90" s="28" t="str">
        <f>IF((N90-Budget!D128)&lt;2,IF((N90-Budget!D128)&gt;-2,"Yes","No"),"No")</f>
        <v>Yes</v>
      </c>
    </row>
    <row r="91" spans="1:15" ht="29" x14ac:dyDescent="0.35">
      <c r="A91" s="68" t="str">
        <f>Budget!A129</f>
        <v>Fire and Occupational Safety and Compliance</v>
      </c>
      <c r="B91" s="81">
        <f>Budget!D129/12</f>
        <v>0</v>
      </c>
      <c r="C91" s="81">
        <f>B91</f>
        <v>0</v>
      </c>
      <c r="D91" s="81">
        <f t="shared" ref="D91:M91" si="33">C91</f>
        <v>0</v>
      </c>
      <c r="E91" s="81">
        <f t="shared" si="33"/>
        <v>0</v>
      </c>
      <c r="F91" s="81">
        <f t="shared" si="33"/>
        <v>0</v>
      </c>
      <c r="G91" s="81">
        <f t="shared" si="33"/>
        <v>0</v>
      </c>
      <c r="H91" s="81">
        <f t="shared" si="33"/>
        <v>0</v>
      </c>
      <c r="I91" s="81">
        <f t="shared" si="33"/>
        <v>0</v>
      </c>
      <c r="J91" s="81">
        <f t="shared" si="33"/>
        <v>0</v>
      </c>
      <c r="K91" s="81">
        <f t="shared" si="33"/>
        <v>0</v>
      </c>
      <c r="L91" s="81">
        <f t="shared" si="33"/>
        <v>0</v>
      </c>
      <c r="M91" s="81">
        <f t="shared" si="33"/>
        <v>0</v>
      </c>
      <c r="N91" s="59">
        <f t="shared" si="29"/>
        <v>0</v>
      </c>
      <c r="O91" s="29" t="str">
        <f>IF((N91-Budget!D129)&lt;2,IF((N91-Budget!D129)&gt;-2,"Yes","No"),"No")</f>
        <v>Yes</v>
      </c>
    </row>
    <row r="92" spans="1:15" x14ac:dyDescent="0.35">
      <c r="A92" s="67">
        <f>Budget!A130</f>
        <v>0</v>
      </c>
      <c r="B92" s="19"/>
      <c r="C92" s="19"/>
      <c r="D92" s="19"/>
      <c r="E92" s="19"/>
      <c r="F92" s="19"/>
      <c r="G92" s="19"/>
      <c r="H92" s="19"/>
      <c r="I92" s="19"/>
      <c r="J92" s="19"/>
      <c r="K92" s="19"/>
      <c r="L92" s="19"/>
      <c r="M92" s="19"/>
      <c r="N92" s="61">
        <f t="shared" si="29"/>
        <v>0</v>
      </c>
      <c r="O92" s="28" t="str">
        <f>IF((N92-Budget!D130)&lt;2,IF((N92-Budget!D130)&gt;-2,"Yes","No"),"No")</f>
        <v>Yes</v>
      </c>
    </row>
    <row r="93" spans="1:15" x14ac:dyDescent="0.35">
      <c r="A93" s="31">
        <f>Budget!A131</f>
        <v>0</v>
      </c>
      <c r="B93" s="81"/>
      <c r="C93" s="81"/>
      <c r="D93" s="81"/>
      <c r="E93" s="81"/>
      <c r="F93" s="81"/>
      <c r="G93" s="81"/>
      <c r="H93" s="81"/>
      <c r="I93" s="81"/>
      <c r="J93" s="81"/>
      <c r="K93" s="81"/>
      <c r="L93" s="81"/>
      <c r="M93" s="81"/>
      <c r="N93" s="59">
        <f t="shared" si="29"/>
        <v>0</v>
      </c>
      <c r="O93" s="29" t="str">
        <f>IF((N93-Budget!D131)&lt;2,IF((N93-Budget!D131)&gt;-2,"Yes","No"),"No")</f>
        <v>Yes</v>
      </c>
    </row>
    <row r="94" spans="1:15" ht="15.5" x14ac:dyDescent="0.35">
      <c r="A94" s="70" t="str">
        <f>Budget!A132</f>
        <v>Total Facilities Expenses</v>
      </c>
      <c r="B94" s="63">
        <f>SUM(B87:B93)</f>
        <v>11827.016666666666</v>
      </c>
      <c r="C94" s="63">
        <f t="shared" ref="C94:M94" si="34">SUM(C87:C93)</f>
        <v>11827.016666666666</v>
      </c>
      <c r="D94" s="63">
        <f t="shared" si="34"/>
        <v>11827.016666666666</v>
      </c>
      <c r="E94" s="63">
        <f t="shared" si="34"/>
        <v>11827.016666666666</v>
      </c>
      <c r="F94" s="63">
        <f t="shared" si="34"/>
        <v>11827.016666666666</v>
      </c>
      <c r="G94" s="63">
        <f t="shared" si="34"/>
        <v>11827.016666666666</v>
      </c>
      <c r="H94" s="63">
        <f t="shared" si="34"/>
        <v>11827.016666666666</v>
      </c>
      <c r="I94" s="63">
        <f t="shared" si="34"/>
        <v>11827.016666666666</v>
      </c>
      <c r="J94" s="63">
        <f t="shared" si="34"/>
        <v>11827.016666666666</v>
      </c>
      <c r="K94" s="63">
        <f t="shared" si="34"/>
        <v>11827.016666666666</v>
      </c>
      <c r="L94" s="63">
        <f t="shared" si="34"/>
        <v>11827.016666666666</v>
      </c>
      <c r="M94" s="63">
        <f t="shared" si="34"/>
        <v>11827.016666666666</v>
      </c>
      <c r="N94" s="61">
        <f t="shared" si="29"/>
        <v>141924</v>
      </c>
      <c r="O94" s="28" t="str">
        <f>IF((N94-Budget!D132)&lt;3,IF((N94-Budget!D132)&gt;-3,"Yes","No"),"No")</f>
        <v>Yes</v>
      </c>
    </row>
    <row r="95" spans="1:15" ht="18.5" x14ac:dyDescent="0.45">
      <c r="A95" s="73" t="s">
        <v>194</v>
      </c>
      <c r="B95" s="74">
        <f t="shared" ref="B95:M95" si="35">SUM(B94,B85,B54,B37)</f>
        <v>125998.06191666664</v>
      </c>
      <c r="C95" s="74">
        <f t="shared" si="35"/>
        <v>168198.74373484845</v>
      </c>
      <c r="D95" s="74">
        <f t="shared" si="35"/>
        <v>151681.24373484845</v>
      </c>
      <c r="E95" s="74">
        <f t="shared" si="35"/>
        <v>139156.74373484845</v>
      </c>
      <c r="F95" s="74">
        <f t="shared" si="35"/>
        <v>138579.24373484845</v>
      </c>
      <c r="G95" s="74">
        <f t="shared" si="35"/>
        <v>138869.74373484845</v>
      </c>
      <c r="H95" s="74">
        <f t="shared" si="35"/>
        <v>147319.74373484845</v>
      </c>
      <c r="I95" s="74">
        <f t="shared" si="35"/>
        <v>139849.24373484845</v>
      </c>
      <c r="J95" s="74">
        <f t="shared" si="35"/>
        <v>139981.74373484845</v>
      </c>
      <c r="K95" s="74">
        <f t="shared" si="35"/>
        <v>140271.74373484845</v>
      </c>
      <c r="L95" s="74">
        <f t="shared" si="35"/>
        <v>142432.24373484845</v>
      </c>
      <c r="M95" s="74">
        <f t="shared" si="35"/>
        <v>119797.24373484847</v>
      </c>
      <c r="N95" s="74">
        <f>ROUND(SUM(B95:M95),2)</f>
        <v>1692135.74</v>
      </c>
      <c r="O95" s="28" t="str">
        <f>IF((N95-Budget!D133)&lt;3,IF((N95-Budget!D133)&gt;-3,"Yes","No"),"No")</f>
        <v>Yes</v>
      </c>
    </row>
    <row r="96" spans="1:15" ht="37" x14ac:dyDescent="0.45">
      <c r="A96" s="51" t="s">
        <v>121</v>
      </c>
      <c r="B96" s="77">
        <f>B16-B95</f>
        <v>47260.438083333356</v>
      </c>
      <c r="C96" s="77">
        <f t="shared" ref="C96:M96" si="36">C16-C95</f>
        <v>5059.7562651515473</v>
      </c>
      <c r="D96" s="77">
        <f t="shared" si="36"/>
        <v>21577.256265151547</v>
      </c>
      <c r="E96" s="77">
        <f t="shared" si="36"/>
        <v>34101.756265151547</v>
      </c>
      <c r="F96" s="77">
        <f t="shared" si="36"/>
        <v>34679.256265151547</v>
      </c>
      <c r="G96" s="77">
        <f t="shared" si="36"/>
        <v>34388.756265151547</v>
      </c>
      <c r="H96" s="77">
        <f t="shared" si="36"/>
        <v>25938.756265151547</v>
      </c>
      <c r="I96" s="77">
        <f t="shared" si="36"/>
        <v>33409.256265151547</v>
      </c>
      <c r="J96" s="77">
        <f t="shared" si="36"/>
        <v>33276.756265151547</v>
      </c>
      <c r="K96" s="77">
        <f t="shared" si="36"/>
        <v>32986.756265151547</v>
      </c>
      <c r="L96" s="77">
        <f t="shared" si="36"/>
        <v>30826.256265151547</v>
      </c>
      <c r="M96" s="77">
        <f t="shared" si="36"/>
        <v>53461.256265151533</v>
      </c>
      <c r="N96" s="77">
        <f>SUM(B96:M96)</f>
        <v>386966.25700000039</v>
      </c>
      <c r="O96" s="32"/>
    </row>
    <row r="97" spans="1:15" ht="37" x14ac:dyDescent="0.45">
      <c r="A97" s="51" t="s">
        <v>255</v>
      </c>
      <c r="B97" s="129"/>
      <c r="C97" s="129"/>
      <c r="D97" s="129"/>
      <c r="E97" s="129"/>
      <c r="F97" s="129"/>
      <c r="G97" s="129"/>
      <c r="H97" s="129"/>
      <c r="I97" s="129"/>
      <c r="J97" s="129"/>
      <c r="K97" s="129"/>
      <c r="L97" s="129"/>
      <c r="M97" s="129"/>
      <c r="N97" s="77">
        <f>SUM(B97:M97)</f>
        <v>0</v>
      </c>
      <c r="O97" s="32" t="str">
        <f>IF((N97-Budget!D134)&lt;2,IF((N97-Budget!D134)&gt;-2,"Yes","No"),"No")</f>
        <v>Yes</v>
      </c>
    </row>
    <row r="98" spans="1:15" ht="37" x14ac:dyDescent="0.45">
      <c r="A98" s="51" t="s">
        <v>262</v>
      </c>
      <c r="B98" s="129"/>
      <c r="C98" s="129"/>
      <c r="D98" s="129"/>
      <c r="E98" s="129"/>
      <c r="F98" s="129"/>
      <c r="G98" s="129"/>
      <c r="H98" s="129"/>
      <c r="I98" s="129"/>
      <c r="J98" s="129"/>
      <c r="K98" s="129"/>
      <c r="L98" s="129"/>
      <c r="M98" s="129"/>
      <c r="N98" s="77">
        <f>SUM(B98:M98)</f>
        <v>0</v>
      </c>
      <c r="O98" s="32" t="str">
        <f>IF((N98-Budget!D135)&lt;2,IF((N98-Budget!D135)&gt;-2,"Yes","No"),"No")</f>
        <v>Yes</v>
      </c>
    </row>
    <row r="99" spans="1:15" ht="42" x14ac:dyDescent="0.5">
      <c r="A99" s="76" t="s">
        <v>122</v>
      </c>
      <c r="B99" s="77">
        <f>B96+B4+B98-B97</f>
        <v>59343.438083333356</v>
      </c>
      <c r="C99" s="77">
        <f t="shared" ref="C99:M99" si="37">C96+C4+C98-C97</f>
        <v>64403.194348484903</v>
      </c>
      <c r="D99" s="77">
        <f t="shared" si="37"/>
        <v>85980.450613636451</v>
      </c>
      <c r="E99" s="77">
        <f t="shared" si="37"/>
        <v>120082.206878788</v>
      </c>
      <c r="F99" s="77">
        <f t="shared" si="37"/>
        <v>154761.46314393956</v>
      </c>
      <c r="G99" s="77">
        <f t="shared" si="37"/>
        <v>189150.21940909111</v>
      </c>
      <c r="H99" s="77">
        <f t="shared" si="37"/>
        <v>215088.97567424265</v>
      </c>
      <c r="I99" s="77">
        <f t="shared" si="37"/>
        <v>248498.2319393942</v>
      </c>
      <c r="J99" s="77">
        <f t="shared" si="37"/>
        <v>281774.98820454575</v>
      </c>
      <c r="K99" s="77">
        <f t="shared" si="37"/>
        <v>314761.7444696973</v>
      </c>
      <c r="L99" s="77">
        <f t="shared" si="37"/>
        <v>345588.00073484884</v>
      </c>
      <c r="M99" s="77">
        <f t="shared" si="37"/>
        <v>399049.25700000039</v>
      </c>
      <c r="N99" s="77">
        <f>N96+B4+N98-N97</f>
        <v>399049.25700000039</v>
      </c>
      <c r="O99" s="33"/>
    </row>
  </sheetData>
  <sheetProtection algorithmName="SHA-512" hashValue="K/ZCpadFDsRrSaszV0PUsGvwfEa7pQ+hREFsy1IGMf+JVZSofE3NKzDYxbqVWi3kACFqskLvaphftyIx567xdg==" saltValue="ZcfAsD43Yu/WM8RJ9AmxLw==" spinCount="100000" sheet="1" formatColumns="0" formatRows="0" selectLockedCells="1"/>
  <mergeCells count="2">
    <mergeCell ref="B1:O1"/>
    <mergeCell ref="O2:O3"/>
  </mergeCells>
  <conditionalFormatting sqref="O6:O16 O57:O84">
    <cfRule type="containsText" dxfId="23" priority="28" operator="containsText" text="No">
      <formula>NOT(ISERROR(SEARCH("No",O6)))</formula>
    </cfRule>
    <cfRule type="containsText" dxfId="22" priority="29" operator="containsText" text="No">
      <formula>NOT(ISERROR(SEARCH("No",O6)))</formula>
    </cfRule>
  </conditionalFormatting>
  <conditionalFormatting sqref="O19:O37">
    <cfRule type="containsText" dxfId="21" priority="25" operator="containsText" text="No">
      <formula>NOT(ISERROR(SEARCH("No",O19)))</formula>
    </cfRule>
    <cfRule type="containsText" dxfId="20" priority="26" operator="containsText" text="No">
      <formula>NOT(ISERROR(SEARCH("No",O19)))</formula>
    </cfRule>
  </conditionalFormatting>
  <conditionalFormatting sqref="O39">
    <cfRule type="containsText" dxfId="19" priority="23" operator="containsText" text="No">
      <formula>NOT(ISERROR(SEARCH("No",O39)))</formula>
    </cfRule>
    <cfRule type="containsText" dxfId="18" priority="24" operator="containsText" text="No">
      <formula>NOT(ISERROR(SEARCH("No",O39)))</formula>
    </cfRule>
  </conditionalFormatting>
  <conditionalFormatting sqref="O40:O54">
    <cfRule type="containsText" dxfId="17" priority="21" operator="containsText" text="No">
      <formula>NOT(ISERROR(SEARCH("No",O40)))</formula>
    </cfRule>
    <cfRule type="containsText" dxfId="16" priority="22" operator="containsText" text="No">
      <formula>NOT(ISERROR(SEARCH("No",O40)))</formula>
    </cfRule>
  </conditionalFormatting>
  <conditionalFormatting sqref="O56">
    <cfRule type="containsText" dxfId="15" priority="19" operator="containsText" text="No">
      <formula>NOT(ISERROR(SEARCH("No",O56)))</formula>
    </cfRule>
    <cfRule type="containsText" dxfId="14" priority="20" operator="containsText" text="No">
      <formula>NOT(ISERROR(SEARCH("No",O56)))</formula>
    </cfRule>
  </conditionalFormatting>
  <conditionalFormatting sqref="O85">
    <cfRule type="containsText" dxfId="13" priority="15" operator="containsText" text="No">
      <formula>NOT(ISERROR(SEARCH("No",O85)))</formula>
    </cfRule>
    <cfRule type="containsText" dxfId="12" priority="16" operator="containsText" text="No">
      <formula>NOT(ISERROR(SEARCH("No",O85)))</formula>
    </cfRule>
  </conditionalFormatting>
  <conditionalFormatting sqref="O87">
    <cfRule type="containsText" dxfId="11" priority="13" operator="containsText" text="No">
      <formula>NOT(ISERROR(SEARCH("No",O87)))</formula>
    </cfRule>
    <cfRule type="containsText" dxfId="10" priority="14" operator="containsText" text="No">
      <formula>NOT(ISERROR(SEARCH("No",O87)))</formula>
    </cfRule>
  </conditionalFormatting>
  <conditionalFormatting sqref="O88:O94">
    <cfRule type="containsText" dxfId="9" priority="11" operator="containsText" text="No">
      <formula>NOT(ISERROR(SEARCH("No",O88)))</formula>
    </cfRule>
    <cfRule type="containsText" dxfId="8" priority="12" operator="containsText" text="No">
      <formula>NOT(ISERROR(SEARCH("No",O88)))</formula>
    </cfRule>
  </conditionalFormatting>
  <conditionalFormatting sqref="O95">
    <cfRule type="containsText" dxfId="7" priority="9" operator="containsText" text="No">
      <formula>NOT(ISERROR(SEARCH("No",O95)))</formula>
    </cfRule>
    <cfRule type="containsText" dxfId="6" priority="10" operator="containsText" text="No">
      <formula>NOT(ISERROR(SEARCH("No",O95)))</formula>
    </cfRule>
  </conditionalFormatting>
  <conditionalFormatting sqref="O96:O97">
    <cfRule type="containsText" dxfId="5" priority="5" operator="containsText" text="No">
      <formula>NOT(ISERROR(SEARCH("No",O96)))</formula>
    </cfRule>
    <cfRule type="containsText" dxfId="4" priority="6" operator="containsText" text="No">
      <formula>NOT(ISERROR(SEARCH("No",O96)))</formula>
    </cfRule>
  </conditionalFormatting>
  <conditionalFormatting sqref="B99:N99">
    <cfRule type="cellIs" dxfId="3" priority="3" operator="lessThan">
      <formula>0</formula>
    </cfRule>
    <cfRule type="cellIs" dxfId="2" priority="4" operator="lessThan">
      <formula>0</formula>
    </cfRule>
  </conditionalFormatting>
  <conditionalFormatting sqref="O98">
    <cfRule type="containsText" dxfId="1" priority="1" operator="containsText" text="No">
      <formula>NOT(ISERROR(SEARCH("No",O98)))</formula>
    </cfRule>
    <cfRule type="containsText" dxfId="0" priority="2" operator="containsText" text="No">
      <formula>NOT(ISERROR(SEARCH("No",O98)))</formula>
    </cfRule>
  </conditionalFormatting>
  <dataValidations count="1">
    <dataValidation type="whole" allowBlank="1" showInputMessage="1" showErrorMessage="1" error="You must enter a positive whole dollar amount.  Zero is also acceptable.  " sqref="B98:M98" xr:uid="{361DE7A3-F165-488D-87C4-908A258067D8}">
      <formula1>0</formula1>
      <formula2>300000000</formula2>
    </dataValidation>
  </dataValidations>
  <printOptions horizontalCentered="1"/>
  <pageMargins left="0" right="0" top="0.5" bottom="0.5" header="0" footer="0"/>
  <pageSetup scale="55" fitToHeight="1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55A9033CC6774CA9CA0EAE3B876A41" ma:contentTypeVersion="1" ma:contentTypeDescription="Create a new document." ma:contentTypeScope="" ma:versionID="193eefcba2616c00a32fba1e22959aa8">
  <xsd:schema xmlns:xsd="http://www.w3.org/2001/XMLSchema" xmlns:xs="http://www.w3.org/2001/XMLSchema" xmlns:p="http://schemas.microsoft.com/office/2006/metadata/properties" xmlns:ns3="27be5a85-c1b7-4887-a23d-05cc4f32f524" targetNamespace="http://schemas.microsoft.com/office/2006/metadata/properties" ma:root="true" ma:fieldsID="5eca6c678e5efd119a9e67a7de633887" ns3:_="">
    <xsd:import namespace="27be5a85-c1b7-4887-a23d-05cc4f32f524"/>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be5a85-c1b7-4887-a23d-05cc4f32f5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95B371-C2DA-4150-B500-FB775A101867}">
  <ds:schemaRefs>
    <ds:schemaRef ds:uri="http://purl.org/dc/terms/"/>
    <ds:schemaRef ds:uri="http://purl.org/dc/elements/1.1/"/>
    <ds:schemaRef ds:uri="http://schemas.microsoft.com/office/2006/metadata/properties"/>
    <ds:schemaRef ds:uri="http://schemas.microsoft.com/office/2006/documentManagement/types"/>
    <ds:schemaRef ds:uri="27be5a85-c1b7-4887-a23d-05cc4f32f524"/>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761F75D4-DA1E-4F18-9226-274E5D696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be5a85-c1b7-4887-a23d-05cc4f32f5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F483D8-ED46-4777-9F2D-A7579B3B01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34</vt:i4>
      </vt:variant>
    </vt:vector>
  </HeadingPairs>
  <TitlesOfParts>
    <vt:vector size="41" baseType="lpstr">
      <vt:lpstr>Instructions</vt:lpstr>
      <vt:lpstr>Budget</vt:lpstr>
      <vt:lpstr>Formula Ref &amp; Validation Data</vt:lpstr>
      <vt:lpstr>Cash Balances</vt:lpstr>
      <vt:lpstr>Cash Flow Proj Planning Yr</vt:lpstr>
      <vt:lpstr>Cash Flow Projection Yr 1</vt:lpstr>
      <vt:lpstr>Cash Flow Projection Yr 2</vt:lpstr>
      <vt:lpstr>BudgetAss1</vt:lpstr>
      <vt:lpstr>BudgetAss2</vt:lpstr>
      <vt:lpstr>BudgetAss3</vt:lpstr>
      <vt:lpstr>BudgetCont</vt:lpstr>
      <vt:lpstr>BudgetFacs</vt:lpstr>
      <vt:lpstr>BudgetInst</vt:lpstr>
      <vt:lpstr>BudgetPers</vt:lpstr>
      <vt:lpstr>BudgetRev1</vt:lpstr>
      <vt:lpstr>BudgetRev2</vt:lpstr>
      <vt:lpstr>BudgetRev3</vt:lpstr>
      <vt:lpstr>BudgetSrvs1</vt:lpstr>
      <vt:lpstr>BudgetSrvs3</vt:lpstr>
      <vt:lpstr>BudgetYrs</vt:lpstr>
      <vt:lpstr>'Cash Flow Proj Planning Yr'!Facs</vt:lpstr>
      <vt:lpstr>'Cash Flow Projection Yr 2'!Facs</vt:lpstr>
      <vt:lpstr>Facs</vt:lpstr>
      <vt:lpstr>'Cash Flow Proj Planning Yr'!Inst</vt:lpstr>
      <vt:lpstr>'Cash Flow Projection Yr 2'!Inst</vt:lpstr>
      <vt:lpstr>Inst</vt:lpstr>
      <vt:lpstr>'Cash Flow Proj Planning Yr'!Pers</vt:lpstr>
      <vt:lpstr>'Cash Flow Projection Yr 2'!Pers</vt:lpstr>
      <vt:lpstr>Pers</vt:lpstr>
      <vt:lpstr>Budget!Print_Area</vt:lpstr>
      <vt:lpstr>Instructions!Print_Area</vt:lpstr>
      <vt:lpstr>Budget!Print_Titles</vt:lpstr>
      <vt:lpstr>'Cash Flow Proj Planning Yr'!Print_Titles</vt:lpstr>
      <vt:lpstr>'Cash Flow Projection Yr 1'!Print_Titles</vt:lpstr>
      <vt:lpstr>'Cash Flow Projection Yr 2'!Print_Titles</vt:lpstr>
      <vt:lpstr>'Cash Flow Proj Planning Yr'!Revs</vt:lpstr>
      <vt:lpstr>'Cash Flow Projection Yr 2'!Revs</vt:lpstr>
      <vt:lpstr>Revs</vt:lpstr>
      <vt:lpstr>'Cash Flow Proj Planning Yr'!Servs</vt:lpstr>
      <vt:lpstr>'Cash Flow Projection Yr 2'!Servs</vt:lpstr>
      <vt:lpstr>Servs</vt:lpstr>
    </vt:vector>
  </TitlesOfParts>
  <Company>Georgia Techology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gstevens</dc:creator>
  <cp:lastModifiedBy>Long, Bridget</cp:lastModifiedBy>
  <cp:lastPrinted>2021-10-15T17:18:09Z</cp:lastPrinted>
  <dcterms:created xsi:type="dcterms:W3CDTF">2013-06-05T14:23:33Z</dcterms:created>
  <dcterms:modified xsi:type="dcterms:W3CDTF">2025-05-29T14:25:13Z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0x0101002155A9033CC6774CA9CA0EAE3B876A41</vt:lpwstr>
  </property>
  <property fmtid="{D5CDD505-2E9C-101B-9397-08002B2CF9AE}" pid="3" name="IsMyDocuments">
    <vt:bool>true</vt:bool>
  </property>
</Properties>
</file>