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21375C15-B45D-4854-BE27-BCF663FFCAFA}" xr6:coauthVersionLast="47" xr6:coauthVersionMax="47" xr10:uidLastSave="{00000000-0000-0000-0000-000000000000}"/>
  <bookViews>
    <workbookView xWindow="22932" yWindow="-108" windowWidth="23256" windowHeight="12576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externalReferences>
    <externalReference r:id="rId6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3" l="1"/>
  <c r="D92" i="4"/>
  <c r="E92" i="4"/>
  <c r="F92" i="4" s="1"/>
  <c r="G92" i="4" s="1"/>
  <c r="H92" i="4" s="1"/>
  <c r="I92" i="4" s="1"/>
  <c r="J92" i="4" s="1"/>
  <c r="K92" i="4" s="1"/>
  <c r="L92" i="4" s="1"/>
  <c r="M92" i="4" s="1"/>
  <c r="D93" i="4"/>
  <c r="E93" i="4"/>
  <c r="F93" i="4" s="1"/>
  <c r="G93" i="4" s="1"/>
  <c r="H93" i="4" s="1"/>
  <c r="I93" i="4" s="1"/>
  <c r="J93" i="4" s="1"/>
  <c r="K93" i="4" s="1"/>
  <c r="L93" i="4" s="1"/>
  <c r="M93" i="4" s="1"/>
  <c r="D94" i="4"/>
  <c r="E94" i="4"/>
  <c r="F94" i="4"/>
  <c r="G94" i="4"/>
  <c r="H94" i="4" s="1"/>
  <c r="I94" i="4" s="1"/>
  <c r="J94" i="4" s="1"/>
  <c r="K94" i="4" s="1"/>
  <c r="L94" i="4" s="1"/>
  <c r="M94" i="4" s="1"/>
  <c r="D95" i="4"/>
  <c r="E95" i="4"/>
  <c r="F95" i="4"/>
  <c r="G95" i="4"/>
  <c r="H95" i="4"/>
  <c r="I95" i="4"/>
  <c r="J95" i="4" s="1"/>
  <c r="K95" i="4" s="1"/>
  <c r="L95" i="4" s="1"/>
  <c r="M95" i="4" s="1"/>
  <c r="D96" i="4"/>
  <c r="E96" i="4" s="1"/>
  <c r="F96" i="4" s="1"/>
  <c r="G96" i="4" s="1"/>
  <c r="H96" i="4" s="1"/>
  <c r="I96" i="4" s="1"/>
  <c r="J96" i="4" s="1"/>
  <c r="K96" i="4" s="1"/>
  <c r="L96" i="4" s="1"/>
  <c r="M96" i="4" s="1"/>
  <c r="C93" i="4"/>
  <c r="C94" i="4"/>
  <c r="C95" i="4"/>
  <c r="C96" i="4"/>
  <c r="C92" i="4"/>
  <c r="B93" i="4"/>
  <c r="B94" i="4"/>
  <c r="B95" i="4"/>
  <c r="B96" i="4"/>
  <c r="B92" i="4"/>
  <c r="D60" i="4"/>
  <c r="E60" i="4" s="1"/>
  <c r="F60" i="4" s="1"/>
  <c r="G60" i="4" s="1"/>
  <c r="H60" i="4" s="1"/>
  <c r="I60" i="4" s="1"/>
  <c r="J60" i="4" s="1"/>
  <c r="K60" i="4" s="1"/>
  <c r="L60" i="4" s="1"/>
  <c r="M60" i="4" s="1"/>
  <c r="D61" i="4"/>
  <c r="E61" i="4"/>
  <c r="F61" i="4" s="1"/>
  <c r="G61" i="4" s="1"/>
  <c r="H61" i="4" s="1"/>
  <c r="I61" i="4" s="1"/>
  <c r="J61" i="4" s="1"/>
  <c r="K61" i="4" s="1"/>
  <c r="L61" i="4" s="1"/>
  <c r="M61" i="4" s="1"/>
  <c r="D62" i="4"/>
  <c r="E62" i="4"/>
  <c r="F62" i="4"/>
  <c r="G62" i="4"/>
  <c r="H62" i="4" s="1"/>
  <c r="I62" i="4" s="1"/>
  <c r="J62" i="4" s="1"/>
  <c r="K62" i="4" s="1"/>
  <c r="L62" i="4" s="1"/>
  <c r="M62" i="4" s="1"/>
  <c r="D63" i="4"/>
  <c r="E63" i="4" s="1"/>
  <c r="F63" i="4" s="1"/>
  <c r="G63" i="4" s="1"/>
  <c r="H63" i="4" s="1"/>
  <c r="I63" i="4" s="1"/>
  <c r="J63" i="4" s="1"/>
  <c r="K63" i="4" s="1"/>
  <c r="L63" i="4" s="1"/>
  <c r="M63" i="4" s="1"/>
  <c r="D64" i="4"/>
  <c r="E64" i="4" s="1"/>
  <c r="F64" i="4" s="1"/>
  <c r="G64" i="4" s="1"/>
  <c r="H64" i="4" s="1"/>
  <c r="I64" i="4" s="1"/>
  <c r="J64" i="4" s="1"/>
  <c r="K64" i="4" s="1"/>
  <c r="L64" i="4" s="1"/>
  <c r="M64" i="4" s="1"/>
  <c r="D65" i="4"/>
  <c r="E65" i="4"/>
  <c r="F65" i="4"/>
  <c r="G65" i="4" s="1"/>
  <c r="H65" i="4" s="1"/>
  <c r="I65" i="4" s="1"/>
  <c r="J65" i="4" s="1"/>
  <c r="K65" i="4" s="1"/>
  <c r="L65" i="4" s="1"/>
  <c r="M65" i="4" s="1"/>
  <c r="D66" i="4"/>
  <c r="E66" i="4" s="1"/>
  <c r="F66" i="4" s="1"/>
  <c r="G66" i="4" s="1"/>
  <c r="H66" i="4" s="1"/>
  <c r="I66" i="4" s="1"/>
  <c r="J66" i="4" s="1"/>
  <c r="K66" i="4" s="1"/>
  <c r="L66" i="4" s="1"/>
  <c r="M66" i="4" s="1"/>
  <c r="D67" i="4"/>
  <c r="E67" i="4"/>
  <c r="F67" i="4" s="1"/>
  <c r="G67" i="4" s="1"/>
  <c r="H67" i="4" s="1"/>
  <c r="I67" i="4" s="1"/>
  <c r="J67" i="4" s="1"/>
  <c r="K67" i="4" s="1"/>
  <c r="L67" i="4" s="1"/>
  <c r="M67" i="4" s="1"/>
  <c r="D68" i="4"/>
  <c r="E68" i="4"/>
  <c r="F68" i="4"/>
  <c r="G68" i="4"/>
  <c r="H68" i="4" s="1"/>
  <c r="I68" i="4" s="1"/>
  <c r="J68" i="4" s="1"/>
  <c r="K68" i="4" s="1"/>
  <c r="L68" i="4" s="1"/>
  <c r="M68" i="4" s="1"/>
  <c r="D69" i="4"/>
  <c r="E69" i="4" s="1"/>
  <c r="F69" i="4" s="1"/>
  <c r="G69" i="4" s="1"/>
  <c r="H69" i="4" s="1"/>
  <c r="I69" i="4" s="1"/>
  <c r="J69" i="4" s="1"/>
  <c r="K69" i="4" s="1"/>
  <c r="L69" i="4" s="1"/>
  <c r="M69" i="4" s="1"/>
  <c r="D70" i="4"/>
  <c r="E70" i="4" s="1"/>
  <c r="F70" i="4" s="1"/>
  <c r="G70" i="4" s="1"/>
  <c r="H70" i="4" s="1"/>
  <c r="I70" i="4" s="1"/>
  <c r="J70" i="4" s="1"/>
  <c r="K70" i="4" s="1"/>
  <c r="L70" i="4" s="1"/>
  <c r="M70" i="4" s="1"/>
  <c r="D71" i="4"/>
  <c r="E71" i="4"/>
  <c r="F71" i="4"/>
  <c r="G71" i="4" s="1"/>
  <c r="H71" i="4" s="1"/>
  <c r="I71" i="4" s="1"/>
  <c r="J71" i="4" s="1"/>
  <c r="K71" i="4" s="1"/>
  <c r="L71" i="4" s="1"/>
  <c r="M71" i="4" s="1"/>
  <c r="D72" i="4"/>
  <c r="E72" i="4" s="1"/>
  <c r="F72" i="4" s="1"/>
  <c r="G72" i="4" s="1"/>
  <c r="H72" i="4" s="1"/>
  <c r="I72" i="4" s="1"/>
  <c r="J72" i="4" s="1"/>
  <c r="K72" i="4" s="1"/>
  <c r="L72" i="4" s="1"/>
  <c r="M72" i="4" s="1"/>
  <c r="D73" i="4"/>
  <c r="E73" i="4"/>
  <c r="F73" i="4" s="1"/>
  <c r="G73" i="4" s="1"/>
  <c r="H73" i="4" s="1"/>
  <c r="I73" i="4" s="1"/>
  <c r="J73" i="4" s="1"/>
  <c r="K73" i="4" s="1"/>
  <c r="L73" i="4" s="1"/>
  <c r="M73" i="4" s="1"/>
  <c r="D74" i="4"/>
  <c r="E74" i="4"/>
  <c r="F74" i="4"/>
  <c r="G74" i="4"/>
  <c r="H74" i="4" s="1"/>
  <c r="I74" i="4" s="1"/>
  <c r="J74" i="4" s="1"/>
  <c r="K74" i="4" s="1"/>
  <c r="L74" i="4" s="1"/>
  <c r="M74" i="4" s="1"/>
  <c r="D75" i="4"/>
  <c r="E75" i="4" s="1"/>
  <c r="F75" i="4" s="1"/>
  <c r="G75" i="4" s="1"/>
  <c r="H75" i="4" s="1"/>
  <c r="I75" i="4" s="1"/>
  <c r="J75" i="4" s="1"/>
  <c r="K75" i="4" s="1"/>
  <c r="L75" i="4" s="1"/>
  <c r="M75" i="4" s="1"/>
  <c r="D76" i="4"/>
  <c r="E76" i="4" s="1"/>
  <c r="F76" i="4" s="1"/>
  <c r="G76" i="4" s="1"/>
  <c r="H76" i="4" s="1"/>
  <c r="I76" i="4" s="1"/>
  <c r="J76" i="4" s="1"/>
  <c r="K76" i="4" s="1"/>
  <c r="L76" i="4" s="1"/>
  <c r="M76" i="4" s="1"/>
  <c r="D77" i="4"/>
  <c r="E77" i="4"/>
  <c r="F77" i="4"/>
  <c r="G77" i="4" s="1"/>
  <c r="H77" i="4" s="1"/>
  <c r="I77" i="4" s="1"/>
  <c r="J77" i="4" s="1"/>
  <c r="K77" i="4" s="1"/>
  <c r="L77" i="4" s="1"/>
  <c r="M77" i="4" s="1"/>
  <c r="D78" i="4"/>
  <c r="E78" i="4" s="1"/>
  <c r="F78" i="4" s="1"/>
  <c r="G78" i="4" s="1"/>
  <c r="H78" i="4" s="1"/>
  <c r="I78" i="4" s="1"/>
  <c r="J78" i="4" s="1"/>
  <c r="K78" i="4" s="1"/>
  <c r="L78" i="4" s="1"/>
  <c r="M78" i="4" s="1"/>
  <c r="D79" i="4"/>
  <c r="E79" i="4"/>
  <c r="F79" i="4" s="1"/>
  <c r="G79" i="4" s="1"/>
  <c r="H79" i="4" s="1"/>
  <c r="I79" i="4" s="1"/>
  <c r="J79" i="4" s="1"/>
  <c r="K79" i="4" s="1"/>
  <c r="L79" i="4" s="1"/>
  <c r="M79" i="4" s="1"/>
  <c r="D80" i="4"/>
  <c r="E80" i="4"/>
  <c r="F80" i="4"/>
  <c r="G80" i="4"/>
  <c r="H80" i="4" s="1"/>
  <c r="I80" i="4" s="1"/>
  <c r="J80" i="4" s="1"/>
  <c r="K80" i="4" s="1"/>
  <c r="L80" i="4" s="1"/>
  <c r="M80" i="4" s="1"/>
  <c r="D81" i="4"/>
  <c r="E81" i="4" s="1"/>
  <c r="F81" i="4" s="1"/>
  <c r="G81" i="4" s="1"/>
  <c r="H81" i="4" s="1"/>
  <c r="I81" i="4" s="1"/>
  <c r="J81" i="4" s="1"/>
  <c r="K81" i="4" s="1"/>
  <c r="L81" i="4" s="1"/>
  <c r="M81" i="4" s="1"/>
  <c r="D82" i="4"/>
  <c r="E82" i="4" s="1"/>
  <c r="F82" i="4" s="1"/>
  <c r="G82" i="4" s="1"/>
  <c r="H82" i="4" s="1"/>
  <c r="I82" i="4" s="1"/>
  <c r="J82" i="4" s="1"/>
  <c r="K82" i="4" s="1"/>
  <c r="L82" i="4" s="1"/>
  <c r="M82" i="4" s="1"/>
  <c r="D83" i="4"/>
  <c r="E83" i="4"/>
  <c r="F83" i="4"/>
  <c r="G83" i="4" s="1"/>
  <c r="H83" i="4" s="1"/>
  <c r="I83" i="4" s="1"/>
  <c r="J83" i="4" s="1"/>
  <c r="K83" i="4" s="1"/>
  <c r="L83" i="4" s="1"/>
  <c r="M83" i="4" s="1"/>
  <c r="D84" i="4"/>
  <c r="E84" i="4" s="1"/>
  <c r="F84" i="4" s="1"/>
  <c r="G84" i="4" s="1"/>
  <c r="H84" i="4" s="1"/>
  <c r="I84" i="4" s="1"/>
  <c r="J84" i="4" s="1"/>
  <c r="K84" i="4" s="1"/>
  <c r="L84" i="4" s="1"/>
  <c r="M84" i="4" s="1"/>
  <c r="D85" i="4"/>
  <c r="E85" i="4"/>
  <c r="F85" i="4" s="1"/>
  <c r="G85" i="4" s="1"/>
  <c r="H85" i="4" s="1"/>
  <c r="I85" i="4" s="1"/>
  <c r="J85" i="4" s="1"/>
  <c r="K85" i="4" s="1"/>
  <c r="L85" i="4" s="1"/>
  <c r="M85" i="4" s="1"/>
  <c r="D86" i="4"/>
  <c r="E86" i="4"/>
  <c r="F86" i="4"/>
  <c r="G86" i="4"/>
  <c r="H86" i="4" s="1"/>
  <c r="I86" i="4" s="1"/>
  <c r="J86" i="4" s="1"/>
  <c r="K86" i="4" s="1"/>
  <c r="L86" i="4" s="1"/>
  <c r="M86" i="4" s="1"/>
  <c r="D87" i="4"/>
  <c r="E87" i="4" s="1"/>
  <c r="F87" i="4" s="1"/>
  <c r="G87" i="4" s="1"/>
  <c r="H87" i="4" s="1"/>
  <c r="I87" i="4" s="1"/>
  <c r="J87" i="4" s="1"/>
  <c r="K87" i="4" s="1"/>
  <c r="L87" i="4" s="1"/>
  <c r="M87" i="4" s="1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60" i="4"/>
  <c r="D42" i="4"/>
  <c r="E42" i="4"/>
  <c r="F42" i="4"/>
  <c r="G42" i="4"/>
  <c r="H42" i="4"/>
  <c r="I42" i="4"/>
  <c r="J42" i="4"/>
  <c r="K42" i="4"/>
  <c r="L42" i="4"/>
  <c r="M42" i="4"/>
  <c r="D43" i="4"/>
  <c r="E43" i="4"/>
  <c r="F43" i="4"/>
  <c r="G43" i="4"/>
  <c r="H43" i="4"/>
  <c r="I43" i="4"/>
  <c r="J43" i="4"/>
  <c r="K43" i="4"/>
  <c r="L43" i="4"/>
  <c r="M43" i="4"/>
  <c r="D44" i="4"/>
  <c r="E44" i="4"/>
  <c r="F44" i="4"/>
  <c r="G44" i="4"/>
  <c r="H44" i="4"/>
  <c r="I44" i="4"/>
  <c r="J44" i="4"/>
  <c r="K44" i="4"/>
  <c r="L44" i="4"/>
  <c r="M44" i="4"/>
  <c r="D45" i="4"/>
  <c r="E45" i="4"/>
  <c r="F45" i="4"/>
  <c r="G45" i="4"/>
  <c r="H45" i="4"/>
  <c r="I45" i="4"/>
  <c r="J45" i="4"/>
  <c r="K45" i="4"/>
  <c r="L45" i="4"/>
  <c r="M45" i="4"/>
  <c r="D46" i="4"/>
  <c r="E46" i="4"/>
  <c r="F46" i="4"/>
  <c r="G46" i="4"/>
  <c r="H46" i="4"/>
  <c r="I46" i="4"/>
  <c r="J46" i="4"/>
  <c r="K46" i="4"/>
  <c r="L46" i="4"/>
  <c r="M46" i="4"/>
  <c r="D47" i="4"/>
  <c r="E47" i="4"/>
  <c r="F47" i="4"/>
  <c r="G47" i="4"/>
  <c r="H47" i="4"/>
  <c r="I47" i="4"/>
  <c r="J47" i="4"/>
  <c r="K47" i="4"/>
  <c r="L47" i="4"/>
  <c r="M47" i="4"/>
  <c r="D48" i="4"/>
  <c r="E48" i="4"/>
  <c r="F48" i="4"/>
  <c r="G48" i="4"/>
  <c r="H48" i="4"/>
  <c r="I48" i="4"/>
  <c r="J48" i="4"/>
  <c r="K48" i="4"/>
  <c r="L48" i="4"/>
  <c r="M48" i="4"/>
  <c r="D49" i="4"/>
  <c r="E49" i="4"/>
  <c r="F49" i="4"/>
  <c r="G49" i="4"/>
  <c r="H49" i="4"/>
  <c r="I49" i="4"/>
  <c r="J49" i="4"/>
  <c r="K49" i="4"/>
  <c r="L49" i="4"/>
  <c r="M49" i="4"/>
  <c r="D50" i="4"/>
  <c r="E50" i="4"/>
  <c r="F50" i="4"/>
  <c r="G50" i="4"/>
  <c r="H50" i="4"/>
  <c r="I50" i="4"/>
  <c r="J50" i="4"/>
  <c r="K50" i="4"/>
  <c r="L50" i="4"/>
  <c r="M50" i="4"/>
  <c r="D51" i="4"/>
  <c r="E51" i="4"/>
  <c r="F51" i="4"/>
  <c r="G51" i="4"/>
  <c r="H51" i="4"/>
  <c r="I51" i="4"/>
  <c r="J51" i="4"/>
  <c r="K51" i="4"/>
  <c r="L51" i="4"/>
  <c r="M51" i="4"/>
  <c r="D52" i="4"/>
  <c r="E52" i="4"/>
  <c r="F52" i="4"/>
  <c r="G52" i="4"/>
  <c r="H52" i="4"/>
  <c r="I52" i="4"/>
  <c r="J52" i="4"/>
  <c r="K52" i="4"/>
  <c r="L52" i="4"/>
  <c r="M52" i="4"/>
  <c r="D53" i="4"/>
  <c r="E53" i="4"/>
  <c r="F53" i="4"/>
  <c r="G53" i="4"/>
  <c r="H53" i="4"/>
  <c r="I53" i="4"/>
  <c r="J53" i="4"/>
  <c r="K53" i="4"/>
  <c r="L53" i="4"/>
  <c r="M53" i="4"/>
  <c r="C43" i="4"/>
  <c r="C44" i="4"/>
  <c r="C45" i="4"/>
  <c r="C46" i="4"/>
  <c r="C47" i="4"/>
  <c r="C48" i="4"/>
  <c r="C49" i="4"/>
  <c r="C50" i="4"/>
  <c r="C51" i="4"/>
  <c r="C52" i="4"/>
  <c r="C53" i="4"/>
  <c r="C42" i="4"/>
  <c r="B43" i="4"/>
  <c r="B44" i="4"/>
  <c r="B45" i="4"/>
  <c r="B46" i="4"/>
  <c r="B47" i="4"/>
  <c r="B48" i="4"/>
  <c r="B49" i="4"/>
  <c r="B50" i="4"/>
  <c r="B51" i="4"/>
  <c r="B52" i="4"/>
  <c r="B53" i="4"/>
  <c r="B54" i="4"/>
  <c r="B56" i="4"/>
  <c r="B42" i="4"/>
  <c r="D20" i="4"/>
  <c r="E20" i="4" s="1"/>
  <c r="F20" i="4" s="1"/>
  <c r="G20" i="4" s="1"/>
  <c r="H20" i="4" s="1"/>
  <c r="I20" i="4" s="1"/>
  <c r="J20" i="4" s="1"/>
  <c r="K20" i="4" s="1"/>
  <c r="L20" i="4" s="1"/>
  <c r="M20" i="4" s="1"/>
  <c r="D21" i="4"/>
  <c r="E21" i="4"/>
  <c r="F21" i="4" s="1"/>
  <c r="G21" i="4" s="1"/>
  <c r="H21" i="4" s="1"/>
  <c r="I21" i="4" s="1"/>
  <c r="J21" i="4" s="1"/>
  <c r="K21" i="4" s="1"/>
  <c r="L21" i="4" s="1"/>
  <c r="M21" i="4" s="1"/>
  <c r="D22" i="4"/>
  <c r="E22" i="4"/>
  <c r="F22" i="4"/>
  <c r="G22" i="4"/>
  <c r="H22" i="4" s="1"/>
  <c r="I22" i="4" s="1"/>
  <c r="J22" i="4" s="1"/>
  <c r="K22" i="4" s="1"/>
  <c r="L22" i="4" s="1"/>
  <c r="M22" i="4" s="1"/>
  <c r="D23" i="4"/>
  <c r="E23" i="4"/>
  <c r="F23" i="4"/>
  <c r="G23" i="4"/>
  <c r="H23" i="4"/>
  <c r="I23" i="4"/>
  <c r="J23" i="4" s="1"/>
  <c r="K23" i="4" s="1"/>
  <c r="L23" i="4" s="1"/>
  <c r="M23" i="4" s="1"/>
  <c r="D24" i="4"/>
  <c r="E24" i="4"/>
  <c r="F24" i="4"/>
  <c r="G24" i="4"/>
  <c r="H24" i="4"/>
  <c r="I24" i="4"/>
  <c r="J24" i="4"/>
  <c r="K24" i="4"/>
  <c r="L24" i="4" s="1"/>
  <c r="M24" i="4" s="1"/>
  <c r="D25" i="4"/>
  <c r="E25" i="4" s="1"/>
  <c r="F25" i="4" s="1"/>
  <c r="G25" i="4" s="1"/>
  <c r="H25" i="4" s="1"/>
  <c r="I25" i="4" s="1"/>
  <c r="J25" i="4" s="1"/>
  <c r="K25" i="4" s="1"/>
  <c r="L25" i="4" s="1"/>
  <c r="M25" i="4" s="1"/>
  <c r="D26" i="4"/>
  <c r="E26" i="4" s="1"/>
  <c r="F26" i="4" s="1"/>
  <c r="G26" i="4" s="1"/>
  <c r="H26" i="4" s="1"/>
  <c r="I26" i="4" s="1"/>
  <c r="J26" i="4" s="1"/>
  <c r="K26" i="4" s="1"/>
  <c r="L26" i="4" s="1"/>
  <c r="M26" i="4" s="1"/>
  <c r="D27" i="4"/>
  <c r="E27" i="4"/>
  <c r="F27" i="4" s="1"/>
  <c r="G27" i="4" s="1"/>
  <c r="H27" i="4" s="1"/>
  <c r="I27" i="4" s="1"/>
  <c r="J27" i="4" s="1"/>
  <c r="K27" i="4" s="1"/>
  <c r="L27" i="4" s="1"/>
  <c r="M27" i="4" s="1"/>
  <c r="D28" i="4"/>
  <c r="E28" i="4"/>
  <c r="F28" i="4"/>
  <c r="G28" i="4"/>
  <c r="H28" i="4" s="1"/>
  <c r="I28" i="4" s="1"/>
  <c r="J28" i="4" s="1"/>
  <c r="K28" i="4" s="1"/>
  <c r="L28" i="4" s="1"/>
  <c r="M28" i="4" s="1"/>
  <c r="D29" i="4"/>
  <c r="E29" i="4"/>
  <c r="F29" i="4"/>
  <c r="G29" i="4"/>
  <c r="H29" i="4"/>
  <c r="I29" i="4"/>
  <c r="J29" i="4" s="1"/>
  <c r="K29" i="4" s="1"/>
  <c r="L29" i="4" s="1"/>
  <c r="M29" i="4" s="1"/>
  <c r="D30" i="4"/>
  <c r="E30" i="4"/>
  <c r="F30" i="4"/>
  <c r="G30" i="4"/>
  <c r="H30" i="4"/>
  <c r="I30" i="4"/>
  <c r="J30" i="4"/>
  <c r="K30" i="4"/>
  <c r="L30" i="4" s="1"/>
  <c r="M30" i="4" s="1"/>
  <c r="D31" i="4"/>
  <c r="E31" i="4" s="1"/>
  <c r="F31" i="4" s="1"/>
  <c r="G31" i="4" s="1"/>
  <c r="H31" i="4" s="1"/>
  <c r="I31" i="4" s="1"/>
  <c r="J31" i="4" s="1"/>
  <c r="K31" i="4" s="1"/>
  <c r="L31" i="4" s="1"/>
  <c r="M31" i="4" s="1"/>
  <c r="D32" i="4"/>
  <c r="E32" i="4" s="1"/>
  <c r="F32" i="4" s="1"/>
  <c r="G32" i="4" s="1"/>
  <c r="H32" i="4" s="1"/>
  <c r="I32" i="4" s="1"/>
  <c r="J32" i="4" s="1"/>
  <c r="K32" i="4" s="1"/>
  <c r="L32" i="4" s="1"/>
  <c r="M32" i="4" s="1"/>
  <c r="D33" i="4"/>
  <c r="E33" i="4"/>
  <c r="F33" i="4" s="1"/>
  <c r="G33" i="4" s="1"/>
  <c r="H33" i="4" s="1"/>
  <c r="I33" i="4" s="1"/>
  <c r="J33" i="4" s="1"/>
  <c r="K33" i="4" s="1"/>
  <c r="L33" i="4" s="1"/>
  <c r="M33" i="4" s="1"/>
  <c r="D34" i="4"/>
  <c r="E34" i="4"/>
  <c r="F34" i="4"/>
  <c r="G34" i="4"/>
  <c r="H34" i="4" s="1"/>
  <c r="I34" i="4" s="1"/>
  <c r="J34" i="4" s="1"/>
  <c r="K34" i="4" s="1"/>
  <c r="L34" i="4" s="1"/>
  <c r="M34" i="4" s="1"/>
  <c r="D35" i="4"/>
  <c r="E35" i="4"/>
  <c r="F35" i="4"/>
  <c r="G35" i="4"/>
  <c r="H35" i="4"/>
  <c r="I35" i="4"/>
  <c r="J35" i="4" s="1"/>
  <c r="K35" i="4" s="1"/>
  <c r="L35" i="4" s="1"/>
  <c r="M35" i="4" s="1"/>
  <c r="D36" i="4"/>
  <c r="E36" i="4"/>
  <c r="F36" i="4"/>
  <c r="G36" i="4"/>
  <c r="H36" i="4"/>
  <c r="I36" i="4"/>
  <c r="J36" i="4"/>
  <c r="K36" i="4"/>
  <c r="L36" i="4" s="1"/>
  <c r="M36" i="4" s="1"/>
  <c r="D37" i="4"/>
  <c r="E37" i="4" s="1"/>
  <c r="F37" i="4" s="1"/>
  <c r="G37" i="4" s="1"/>
  <c r="H37" i="4" s="1"/>
  <c r="I37" i="4" s="1"/>
  <c r="J37" i="4" s="1"/>
  <c r="K37" i="4" s="1"/>
  <c r="L37" i="4" s="1"/>
  <c r="M37" i="4" s="1"/>
  <c r="D38" i="4"/>
  <c r="E38" i="4" s="1"/>
  <c r="F38" i="4" s="1"/>
  <c r="G38" i="4" s="1"/>
  <c r="H38" i="4" s="1"/>
  <c r="I38" i="4" s="1"/>
  <c r="J38" i="4" s="1"/>
  <c r="K38" i="4" s="1"/>
  <c r="L38" i="4" s="1"/>
  <c r="M38" i="4" s="1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20" i="4"/>
  <c r="A38" i="4"/>
  <c r="A37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20" i="4"/>
  <c r="D6" i="4"/>
  <c r="E6" i="4"/>
  <c r="F6" i="4"/>
  <c r="G6" i="4"/>
  <c r="H6" i="4"/>
  <c r="I6" i="4"/>
  <c r="J6" i="4"/>
  <c r="K6" i="4" s="1"/>
  <c r="L6" i="4" s="1"/>
  <c r="M6" i="4" s="1"/>
  <c r="D7" i="4"/>
  <c r="E7" i="4"/>
  <c r="F7" i="4" s="1"/>
  <c r="G7" i="4" s="1"/>
  <c r="H7" i="4" s="1"/>
  <c r="I7" i="4" s="1"/>
  <c r="J7" i="4" s="1"/>
  <c r="K7" i="4" s="1"/>
  <c r="L7" i="4" s="1"/>
  <c r="M7" i="4" s="1"/>
  <c r="D8" i="4"/>
  <c r="E8" i="4"/>
  <c r="F8" i="4"/>
  <c r="G8" i="4"/>
  <c r="H8" i="4" s="1"/>
  <c r="I8" i="4" s="1"/>
  <c r="J8" i="4" s="1"/>
  <c r="K8" i="4" s="1"/>
  <c r="L8" i="4" s="1"/>
  <c r="M8" i="4" s="1"/>
  <c r="C7" i="4"/>
  <c r="C8" i="4"/>
  <c r="C6" i="4"/>
  <c r="B8" i="4"/>
  <c r="B7" i="4"/>
  <c r="B6" i="4"/>
  <c r="D90" i="3"/>
  <c r="E90" i="3"/>
  <c r="F90" i="3" s="1"/>
  <c r="G90" i="3" s="1"/>
  <c r="H90" i="3" s="1"/>
  <c r="I90" i="3" s="1"/>
  <c r="J90" i="3" s="1"/>
  <c r="K90" i="3" s="1"/>
  <c r="L90" i="3" s="1"/>
  <c r="M90" i="3" s="1"/>
  <c r="D91" i="3"/>
  <c r="E91" i="3"/>
  <c r="F91" i="3" s="1"/>
  <c r="G91" i="3" s="1"/>
  <c r="H91" i="3" s="1"/>
  <c r="I91" i="3" s="1"/>
  <c r="J91" i="3" s="1"/>
  <c r="K91" i="3" s="1"/>
  <c r="L91" i="3" s="1"/>
  <c r="M91" i="3" s="1"/>
  <c r="D92" i="3"/>
  <c r="E92" i="3"/>
  <c r="F92" i="3"/>
  <c r="G92" i="3"/>
  <c r="H92" i="3" s="1"/>
  <c r="I92" i="3" s="1"/>
  <c r="J92" i="3" s="1"/>
  <c r="K92" i="3" s="1"/>
  <c r="L92" i="3" s="1"/>
  <c r="M92" i="3" s="1"/>
  <c r="D93" i="3"/>
  <c r="E93" i="3"/>
  <c r="F93" i="3"/>
  <c r="G93" i="3"/>
  <c r="H93" i="3"/>
  <c r="I93" i="3"/>
  <c r="J93" i="3" s="1"/>
  <c r="K93" i="3" s="1"/>
  <c r="L93" i="3" s="1"/>
  <c r="M93" i="3" s="1"/>
  <c r="D94" i="3"/>
  <c r="E94" i="3"/>
  <c r="F94" i="3"/>
  <c r="G94" i="3"/>
  <c r="H94" i="3"/>
  <c r="I94" i="3"/>
  <c r="J94" i="3"/>
  <c r="K94" i="3"/>
  <c r="L94" i="3" s="1"/>
  <c r="M94" i="3" s="1"/>
  <c r="D95" i="3"/>
  <c r="E95" i="3" s="1"/>
  <c r="F95" i="3" s="1"/>
  <c r="G95" i="3" s="1"/>
  <c r="H95" i="3" s="1"/>
  <c r="I95" i="3" s="1"/>
  <c r="J95" i="3" s="1"/>
  <c r="K95" i="3" s="1"/>
  <c r="L95" i="3" s="1"/>
  <c r="M95" i="3" s="1"/>
  <c r="C91" i="3"/>
  <c r="C92" i="3"/>
  <c r="C93" i="3"/>
  <c r="C94" i="3"/>
  <c r="C95" i="3"/>
  <c r="B91" i="3"/>
  <c r="B92" i="3"/>
  <c r="B93" i="3"/>
  <c r="B94" i="3"/>
  <c r="B95" i="3"/>
  <c r="B90" i="3"/>
  <c r="G60" i="3"/>
  <c r="H60" i="3" s="1"/>
  <c r="I60" i="3" s="1"/>
  <c r="J60" i="3" s="1"/>
  <c r="K60" i="3" s="1"/>
  <c r="L60" i="3" s="1"/>
  <c r="M60" i="3" s="1"/>
  <c r="D62" i="3"/>
  <c r="E62" i="3" s="1"/>
  <c r="F62" i="3" s="1"/>
  <c r="G62" i="3" s="1"/>
  <c r="H62" i="3" s="1"/>
  <c r="I62" i="3" s="1"/>
  <c r="J62" i="3" s="1"/>
  <c r="K62" i="3" s="1"/>
  <c r="L62" i="3" s="1"/>
  <c r="M62" i="3" s="1"/>
  <c r="D64" i="3"/>
  <c r="E64" i="3" s="1"/>
  <c r="F64" i="3" s="1"/>
  <c r="G64" i="3" s="1"/>
  <c r="H64" i="3" s="1"/>
  <c r="I64" i="3" s="1"/>
  <c r="J64" i="3" s="1"/>
  <c r="K64" i="3" s="1"/>
  <c r="L64" i="3" s="1"/>
  <c r="M64" i="3" s="1"/>
  <c r="D74" i="3"/>
  <c r="E74" i="3"/>
  <c r="F74" i="3"/>
  <c r="G74" i="3" s="1"/>
  <c r="H74" i="3" s="1"/>
  <c r="I74" i="3" s="1"/>
  <c r="J74" i="3" s="1"/>
  <c r="K74" i="3" s="1"/>
  <c r="L74" i="3" s="1"/>
  <c r="M74" i="3" s="1"/>
  <c r="F76" i="3"/>
  <c r="G76" i="3" s="1"/>
  <c r="H76" i="3" s="1"/>
  <c r="I76" i="3" s="1"/>
  <c r="J76" i="3" s="1"/>
  <c r="K76" i="3" s="1"/>
  <c r="L76" i="3" s="1"/>
  <c r="M76" i="3" s="1"/>
  <c r="E80" i="3"/>
  <c r="F80" i="3"/>
  <c r="G80" i="3"/>
  <c r="H80" i="3" s="1"/>
  <c r="I80" i="3" s="1"/>
  <c r="J80" i="3" s="1"/>
  <c r="K80" i="3" s="1"/>
  <c r="L80" i="3" s="1"/>
  <c r="M80" i="3" s="1"/>
  <c r="G82" i="3"/>
  <c r="H82" i="3" s="1"/>
  <c r="I82" i="3" s="1"/>
  <c r="J82" i="3"/>
  <c r="K82" i="3" s="1"/>
  <c r="L82" i="3" s="1"/>
  <c r="M82" i="3" s="1"/>
  <c r="C59" i="3"/>
  <c r="D59" i="3" s="1"/>
  <c r="E59" i="3" s="1"/>
  <c r="F59" i="3" s="1"/>
  <c r="G59" i="3" s="1"/>
  <c r="H59" i="3" s="1"/>
  <c r="I59" i="3" s="1"/>
  <c r="J59" i="3" s="1"/>
  <c r="K59" i="3" s="1"/>
  <c r="L59" i="3" s="1"/>
  <c r="M59" i="3" s="1"/>
  <c r="C60" i="3"/>
  <c r="D60" i="3" s="1"/>
  <c r="E60" i="3" s="1"/>
  <c r="F60" i="3" s="1"/>
  <c r="C62" i="3"/>
  <c r="C63" i="3"/>
  <c r="D63" i="3" s="1"/>
  <c r="E63" i="3" s="1"/>
  <c r="F63" i="3" s="1"/>
  <c r="G63" i="3" s="1"/>
  <c r="H63" i="3" s="1"/>
  <c r="I63" i="3" s="1"/>
  <c r="J63" i="3" s="1"/>
  <c r="K63" i="3" s="1"/>
  <c r="L63" i="3" s="1"/>
  <c r="M63" i="3" s="1"/>
  <c r="C69" i="3"/>
  <c r="D69" i="3" s="1"/>
  <c r="E69" i="3" s="1"/>
  <c r="F69" i="3" s="1"/>
  <c r="G69" i="3" s="1"/>
  <c r="H69" i="3" s="1"/>
  <c r="I69" i="3" s="1"/>
  <c r="J69" i="3" s="1"/>
  <c r="K69" i="3" s="1"/>
  <c r="L69" i="3" s="1"/>
  <c r="M69" i="3" s="1"/>
  <c r="C70" i="3"/>
  <c r="D70" i="3" s="1"/>
  <c r="E70" i="3" s="1"/>
  <c r="F70" i="3" s="1"/>
  <c r="G70" i="3" s="1"/>
  <c r="H70" i="3" s="1"/>
  <c r="I70" i="3" s="1"/>
  <c r="J70" i="3" s="1"/>
  <c r="K70" i="3" s="1"/>
  <c r="L70" i="3" s="1"/>
  <c r="M70" i="3" s="1"/>
  <c r="C71" i="3"/>
  <c r="D71" i="3" s="1"/>
  <c r="E71" i="3" s="1"/>
  <c r="F71" i="3" s="1"/>
  <c r="G71" i="3" s="1"/>
  <c r="H71" i="3" s="1"/>
  <c r="I71" i="3" s="1"/>
  <c r="J71" i="3" s="1"/>
  <c r="K71" i="3" s="1"/>
  <c r="L71" i="3" s="1"/>
  <c r="M71" i="3" s="1"/>
  <c r="C72" i="3"/>
  <c r="D72" i="3" s="1"/>
  <c r="E72" i="3" s="1"/>
  <c r="F72" i="3" s="1"/>
  <c r="G72" i="3" s="1"/>
  <c r="H72" i="3" s="1"/>
  <c r="I72" i="3" s="1"/>
  <c r="J72" i="3" s="1"/>
  <c r="K72" i="3" s="1"/>
  <c r="L72" i="3" s="1"/>
  <c r="M72" i="3" s="1"/>
  <c r="C74" i="3"/>
  <c r="C75" i="3"/>
  <c r="D75" i="3" s="1"/>
  <c r="E75" i="3" s="1"/>
  <c r="F75" i="3" s="1"/>
  <c r="G75" i="3" s="1"/>
  <c r="H75" i="3" s="1"/>
  <c r="I75" i="3" s="1"/>
  <c r="J75" i="3" s="1"/>
  <c r="K75" i="3" s="1"/>
  <c r="L75" i="3" s="1"/>
  <c r="M75" i="3" s="1"/>
  <c r="C76" i="3"/>
  <c r="D76" i="3" s="1"/>
  <c r="E76" i="3" s="1"/>
  <c r="C81" i="3"/>
  <c r="D81" i="3" s="1"/>
  <c r="E81" i="3" s="1"/>
  <c r="F81" i="3" s="1"/>
  <c r="G81" i="3" s="1"/>
  <c r="H81" i="3" s="1"/>
  <c r="I81" i="3" s="1"/>
  <c r="J81" i="3" s="1"/>
  <c r="K81" i="3" s="1"/>
  <c r="L81" i="3" s="1"/>
  <c r="M81" i="3" s="1"/>
  <c r="C82" i="3"/>
  <c r="D82" i="3" s="1"/>
  <c r="E82" i="3" s="1"/>
  <c r="F82" i="3" s="1"/>
  <c r="C83" i="3"/>
  <c r="D83" i="3" s="1"/>
  <c r="E83" i="3" s="1"/>
  <c r="F83" i="3" s="1"/>
  <c r="G83" i="3" s="1"/>
  <c r="H83" i="3" s="1"/>
  <c r="I83" i="3" s="1"/>
  <c r="J83" i="3" s="1"/>
  <c r="K83" i="3" s="1"/>
  <c r="L83" i="3" s="1"/>
  <c r="M83" i="3" s="1"/>
  <c r="C84" i="3"/>
  <c r="D84" i="3" s="1"/>
  <c r="E84" i="3" s="1"/>
  <c r="F84" i="3" s="1"/>
  <c r="G84" i="3" s="1"/>
  <c r="H84" i="3" s="1"/>
  <c r="I84" i="3" s="1"/>
  <c r="J84" i="3" s="1"/>
  <c r="K84" i="3" s="1"/>
  <c r="L84" i="3" s="1"/>
  <c r="M84" i="3" s="1"/>
  <c r="C58" i="3"/>
  <c r="D58" i="3" s="1"/>
  <c r="E58" i="3" s="1"/>
  <c r="F58" i="3" s="1"/>
  <c r="G58" i="3" s="1"/>
  <c r="H58" i="3" s="1"/>
  <c r="I58" i="3" s="1"/>
  <c r="J58" i="3" s="1"/>
  <c r="K58" i="3" s="1"/>
  <c r="L58" i="3" s="1"/>
  <c r="M58" i="3" s="1"/>
  <c r="B59" i="3"/>
  <c r="B60" i="3"/>
  <c r="B61" i="3"/>
  <c r="C61" i="3" s="1"/>
  <c r="D61" i="3" s="1"/>
  <c r="E61" i="3" s="1"/>
  <c r="F61" i="3" s="1"/>
  <c r="G61" i="3" s="1"/>
  <c r="H61" i="3" s="1"/>
  <c r="I61" i="3" s="1"/>
  <c r="J61" i="3" s="1"/>
  <c r="K61" i="3" s="1"/>
  <c r="L61" i="3" s="1"/>
  <c r="M61" i="3" s="1"/>
  <c r="B62" i="3"/>
  <c r="B63" i="3"/>
  <c r="B64" i="3"/>
  <c r="C64" i="3" s="1"/>
  <c r="B65" i="3"/>
  <c r="C65" i="3" s="1"/>
  <c r="D65" i="3" s="1"/>
  <c r="E65" i="3" s="1"/>
  <c r="F65" i="3" s="1"/>
  <c r="G65" i="3" s="1"/>
  <c r="H65" i="3" s="1"/>
  <c r="I65" i="3" s="1"/>
  <c r="J65" i="3" s="1"/>
  <c r="K65" i="3" s="1"/>
  <c r="L65" i="3" s="1"/>
  <c r="M65" i="3" s="1"/>
  <c r="B66" i="3"/>
  <c r="C66" i="3" s="1"/>
  <c r="D66" i="3" s="1"/>
  <c r="E66" i="3" s="1"/>
  <c r="F66" i="3" s="1"/>
  <c r="G66" i="3" s="1"/>
  <c r="H66" i="3" s="1"/>
  <c r="I66" i="3" s="1"/>
  <c r="J66" i="3" s="1"/>
  <c r="K66" i="3" s="1"/>
  <c r="L66" i="3" s="1"/>
  <c r="M66" i="3" s="1"/>
  <c r="B67" i="3"/>
  <c r="C67" i="3" s="1"/>
  <c r="D67" i="3" s="1"/>
  <c r="E67" i="3" s="1"/>
  <c r="F67" i="3" s="1"/>
  <c r="G67" i="3" s="1"/>
  <c r="H67" i="3" s="1"/>
  <c r="I67" i="3" s="1"/>
  <c r="J67" i="3" s="1"/>
  <c r="K67" i="3" s="1"/>
  <c r="L67" i="3" s="1"/>
  <c r="M67" i="3" s="1"/>
  <c r="B68" i="3"/>
  <c r="C68" i="3" s="1"/>
  <c r="D68" i="3" s="1"/>
  <c r="E68" i="3" s="1"/>
  <c r="F68" i="3" s="1"/>
  <c r="G68" i="3" s="1"/>
  <c r="H68" i="3" s="1"/>
  <c r="I68" i="3" s="1"/>
  <c r="J68" i="3" s="1"/>
  <c r="K68" i="3" s="1"/>
  <c r="L68" i="3" s="1"/>
  <c r="M68" i="3" s="1"/>
  <c r="B69" i="3"/>
  <c r="B70" i="3"/>
  <c r="B71" i="3"/>
  <c r="B72" i="3"/>
  <c r="B73" i="3"/>
  <c r="C73" i="3" s="1"/>
  <c r="D73" i="3" s="1"/>
  <c r="E73" i="3" s="1"/>
  <c r="F73" i="3" s="1"/>
  <c r="G73" i="3" s="1"/>
  <c r="H73" i="3" s="1"/>
  <c r="I73" i="3" s="1"/>
  <c r="J73" i="3" s="1"/>
  <c r="K73" i="3" s="1"/>
  <c r="L73" i="3" s="1"/>
  <c r="M73" i="3" s="1"/>
  <c r="B74" i="3"/>
  <c r="B75" i="3"/>
  <c r="B76" i="3"/>
  <c r="B77" i="3"/>
  <c r="C77" i="3" s="1"/>
  <c r="D77" i="3" s="1"/>
  <c r="E77" i="3" s="1"/>
  <c r="F77" i="3" s="1"/>
  <c r="G77" i="3" s="1"/>
  <c r="H77" i="3" s="1"/>
  <c r="I77" i="3" s="1"/>
  <c r="J77" i="3" s="1"/>
  <c r="K77" i="3" s="1"/>
  <c r="L77" i="3" s="1"/>
  <c r="M77" i="3" s="1"/>
  <c r="B78" i="3"/>
  <c r="C78" i="3" s="1"/>
  <c r="D78" i="3" s="1"/>
  <c r="E78" i="3" s="1"/>
  <c r="F78" i="3" s="1"/>
  <c r="G78" i="3" s="1"/>
  <c r="H78" i="3" s="1"/>
  <c r="I78" i="3" s="1"/>
  <c r="J78" i="3" s="1"/>
  <c r="K78" i="3" s="1"/>
  <c r="L78" i="3" s="1"/>
  <c r="M78" i="3" s="1"/>
  <c r="B79" i="3"/>
  <c r="C79" i="3" s="1"/>
  <c r="D79" i="3" s="1"/>
  <c r="E79" i="3" s="1"/>
  <c r="F79" i="3" s="1"/>
  <c r="G79" i="3" s="1"/>
  <c r="H79" i="3" s="1"/>
  <c r="I79" i="3" s="1"/>
  <c r="J79" i="3" s="1"/>
  <c r="K79" i="3" s="1"/>
  <c r="L79" i="3" s="1"/>
  <c r="M79" i="3" s="1"/>
  <c r="B80" i="3"/>
  <c r="C80" i="3" s="1"/>
  <c r="D80" i="3" s="1"/>
  <c r="B81" i="3"/>
  <c r="B82" i="3"/>
  <c r="B83" i="3"/>
  <c r="B84" i="3"/>
  <c r="B85" i="3"/>
  <c r="C85" i="3" s="1"/>
  <c r="D85" i="3" s="1"/>
  <c r="E85" i="3" s="1"/>
  <c r="F85" i="3" s="1"/>
  <c r="G85" i="3" s="1"/>
  <c r="H85" i="3" s="1"/>
  <c r="I85" i="3" s="1"/>
  <c r="J85" i="3" s="1"/>
  <c r="K85" i="3" s="1"/>
  <c r="L85" i="3" s="1"/>
  <c r="M85" i="3" s="1"/>
  <c r="B58" i="3"/>
  <c r="I51" i="3"/>
  <c r="J51" i="3" s="1"/>
  <c r="K51" i="3" s="1"/>
  <c r="L51" i="3" s="1"/>
  <c r="M51" i="3" s="1"/>
  <c r="C51" i="3"/>
  <c r="D51" i="3" s="1"/>
  <c r="E51" i="3" s="1"/>
  <c r="F51" i="3" s="1"/>
  <c r="G51" i="3" s="1"/>
  <c r="H51" i="3" s="1"/>
  <c r="B43" i="3"/>
  <c r="C43" i="3" s="1"/>
  <c r="D43" i="3" s="1"/>
  <c r="E43" i="3" s="1"/>
  <c r="F43" i="3" s="1"/>
  <c r="G43" i="3" s="1"/>
  <c r="H43" i="3" s="1"/>
  <c r="I43" i="3" s="1"/>
  <c r="J43" i="3" s="1"/>
  <c r="K43" i="3" s="1"/>
  <c r="L43" i="3" s="1"/>
  <c r="M43" i="3" s="1"/>
  <c r="B44" i="3"/>
  <c r="C44" i="3" s="1"/>
  <c r="D44" i="3" s="1"/>
  <c r="E44" i="3" s="1"/>
  <c r="F44" i="3" s="1"/>
  <c r="G44" i="3" s="1"/>
  <c r="H44" i="3" s="1"/>
  <c r="I44" i="3" s="1"/>
  <c r="J44" i="3" s="1"/>
  <c r="K44" i="3" s="1"/>
  <c r="L44" i="3" s="1"/>
  <c r="M44" i="3" s="1"/>
  <c r="B45" i="3"/>
  <c r="C45" i="3" s="1"/>
  <c r="D45" i="3" s="1"/>
  <c r="E45" i="3" s="1"/>
  <c r="F45" i="3" s="1"/>
  <c r="G45" i="3" s="1"/>
  <c r="H45" i="3" s="1"/>
  <c r="I45" i="3" s="1"/>
  <c r="J45" i="3" s="1"/>
  <c r="K45" i="3" s="1"/>
  <c r="L45" i="3" s="1"/>
  <c r="M45" i="3" s="1"/>
  <c r="B46" i="3"/>
  <c r="C46" i="3" s="1"/>
  <c r="D46" i="3" s="1"/>
  <c r="E46" i="3" s="1"/>
  <c r="F46" i="3" s="1"/>
  <c r="G46" i="3" s="1"/>
  <c r="H46" i="3" s="1"/>
  <c r="I46" i="3" s="1"/>
  <c r="J46" i="3" s="1"/>
  <c r="K46" i="3" s="1"/>
  <c r="L46" i="3" s="1"/>
  <c r="M46" i="3" s="1"/>
  <c r="B47" i="3"/>
  <c r="C47" i="3" s="1"/>
  <c r="D47" i="3" s="1"/>
  <c r="E47" i="3" s="1"/>
  <c r="F47" i="3" s="1"/>
  <c r="G47" i="3" s="1"/>
  <c r="H47" i="3" s="1"/>
  <c r="I47" i="3" s="1"/>
  <c r="J47" i="3" s="1"/>
  <c r="K47" i="3" s="1"/>
  <c r="L47" i="3" s="1"/>
  <c r="M47" i="3" s="1"/>
  <c r="B48" i="3"/>
  <c r="B49" i="3"/>
  <c r="C49" i="3" s="1"/>
  <c r="D49" i="3" s="1"/>
  <c r="E49" i="3" s="1"/>
  <c r="F49" i="3" s="1"/>
  <c r="G49" i="3" s="1"/>
  <c r="H49" i="3" s="1"/>
  <c r="I49" i="3" s="1"/>
  <c r="J49" i="3" s="1"/>
  <c r="K49" i="3" s="1"/>
  <c r="L49" i="3" s="1"/>
  <c r="M49" i="3" s="1"/>
  <c r="B50" i="3"/>
  <c r="C50" i="3" s="1"/>
  <c r="D50" i="3" s="1"/>
  <c r="E50" i="3" s="1"/>
  <c r="F50" i="3" s="1"/>
  <c r="G50" i="3" s="1"/>
  <c r="H50" i="3" s="1"/>
  <c r="I50" i="3" s="1"/>
  <c r="J50" i="3" s="1"/>
  <c r="K50" i="3" s="1"/>
  <c r="L50" i="3" s="1"/>
  <c r="M50" i="3" s="1"/>
  <c r="B51" i="3"/>
  <c r="B52" i="3"/>
  <c r="C52" i="3" s="1"/>
  <c r="D52" i="3" s="1"/>
  <c r="E52" i="3" s="1"/>
  <c r="F52" i="3" s="1"/>
  <c r="G52" i="3" s="1"/>
  <c r="H52" i="3" s="1"/>
  <c r="I52" i="3" s="1"/>
  <c r="J52" i="3" s="1"/>
  <c r="K52" i="3" s="1"/>
  <c r="L52" i="3" s="1"/>
  <c r="M52" i="3" s="1"/>
  <c r="B42" i="3"/>
  <c r="D53" i="3"/>
  <c r="E53" i="3"/>
  <c r="F53" i="3" s="1"/>
  <c r="G53" i="3" s="1"/>
  <c r="H53" i="3" s="1"/>
  <c r="I53" i="3" s="1"/>
  <c r="J53" i="3" s="1"/>
  <c r="K53" i="3" s="1"/>
  <c r="L53" i="3" s="1"/>
  <c r="M53" i="3" s="1"/>
  <c r="C48" i="3"/>
  <c r="D48" i="3" s="1"/>
  <c r="E48" i="3" s="1"/>
  <c r="F48" i="3" s="1"/>
  <c r="G48" i="3" s="1"/>
  <c r="H48" i="3" s="1"/>
  <c r="I48" i="3" s="1"/>
  <c r="J48" i="3" s="1"/>
  <c r="K48" i="3" s="1"/>
  <c r="L48" i="3" s="1"/>
  <c r="M48" i="3" s="1"/>
  <c r="C54" i="3"/>
  <c r="D54" i="3" s="1"/>
  <c r="E54" i="3" s="1"/>
  <c r="F54" i="3" s="1"/>
  <c r="G54" i="3" s="1"/>
  <c r="H54" i="3" s="1"/>
  <c r="I54" i="3" s="1"/>
  <c r="J54" i="3" s="1"/>
  <c r="K54" i="3" s="1"/>
  <c r="L54" i="3" s="1"/>
  <c r="M54" i="3" s="1"/>
  <c r="C42" i="3"/>
  <c r="D42" i="3" s="1"/>
  <c r="E42" i="3" s="1"/>
  <c r="F42" i="3" s="1"/>
  <c r="G42" i="3" s="1"/>
  <c r="H42" i="3" s="1"/>
  <c r="I42" i="3" s="1"/>
  <c r="J42" i="3" s="1"/>
  <c r="K42" i="3" s="1"/>
  <c r="L42" i="3" s="1"/>
  <c r="M42" i="3" s="1"/>
  <c r="A38" i="2"/>
  <c r="A37" i="2"/>
  <c r="B53" i="3"/>
  <c r="C53" i="3" s="1"/>
  <c r="B54" i="3"/>
  <c r="D37" i="3"/>
  <c r="E37" i="3" s="1"/>
  <c r="F37" i="3" s="1"/>
  <c r="G37" i="3" s="1"/>
  <c r="H37" i="3" s="1"/>
  <c r="I37" i="3" s="1"/>
  <c r="J37" i="3" s="1"/>
  <c r="K37" i="3" s="1"/>
  <c r="L37" i="3" s="1"/>
  <c r="M37" i="3" s="1"/>
  <c r="D38" i="3"/>
  <c r="E38" i="3" s="1"/>
  <c r="F38" i="3" s="1"/>
  <c r="G38" i="3" s="1"/>
  <c r="H38" i="3" s="1"/>
  <c r="I38" i="3" s="1"/>
  <c r="J38" i="3" s="1"/>
  <c r="K38" i="3" s="1"/>
  <c r="L38" i="3" s="1"/>
  <c r="M38" i="3" s="1"/>
  <c r="B38" i="3"/>
  <c r="C38" i="3" s="1"/>
  <c r="A38" i="3"/>
  <c r="A37" i="3"/>
  <c r="B37" i="3"/>
  <c r="C37" i="3" s="1"/>
  <c r="C6" i="3"/>
  <c r="D6" i="3" s="1"/>
  <c r="E6" i="3" s="1"/>
  <c r="F6" i="3" s="1"/>
  <c r="G6" i="3" s="1"/>
  <c r="H6" i="3" s="1"/>
  <c r="I6" i="3" s="1"/>
  <c r="J6" i="3" s="1"/>
  <c r="K6" i="3" s="1"/>
  <c r="L6" i="3" s="1"/>
  <c r="M6" i="3" s="1"/>
  <c r="B6" i="3"/>
  <c r="C8" i="3"/>
  <c r="D8" i="3" s="1"/>
  <c r="E8" i="3" s="1"/>
  <c r="F8" i="3" s="1"/>
  <c r="G8" i="3" s="1"/>
  <c r="H8" i="3" s="1"/>
  <c r="I8" i="3" s="1"/>
  <c r="J8" i="3" s="1"/>
  <c r="K8" i="3" s="1"/>
  <c r="L8" i="3" s="1"/>
  <c r="M54" i="2" l="1"/>
  <c r="L54" i="2"/>
  <c r="K54" i="2"/>
  <c r="J54" i="2"/>
  <c r="I54" i="2"/>
  <c r="H54" i="2"/>
  <c r="G54" i="2"/>
  <c r="F54" i="2"/>
  <c r="E54" i="2"/>
  <c r="D54" i="2"/>
  <c r="C54" i="2"/>
  <c r="M53" i="2"/>
  <c r="L53" i="2"/>
  <c r="K53" i="2"/>
  <c r="J53" i="2"/>
  <c r="I53" i="2"/>
  <c r="H53" i="2"/>
  <c r="G53" i="2"/>
  <c r="F53" i="2"/>
  <c r="E53" i="2"/>
  <c r="D53" i="2"/>
  <c r="C53" i="2"/>
  <c r="M52" i="2"/>
  <c r="L52" i="2"/>
  <c r="K52" i="2"/>
  <c r="J52" i="2"/>
  <c r="I52" i="2"/>
  <c r="H52" i="2"/>
  <c r="G52" i="2"/>
  <c r="F52" i="2"/>
  <c r="E52" i="2"/>
  <c r="D52" i="2"/>
  <c r="C52" i="2"/>
  <c r="M51" i="2"/>
  <c r="L51" i="2"/>
  <c r="K51" i="2"/>
  <c r="J51" i="2"/>
  <c r="I51" i="2"/>
  <c r="H51" i="2"/>
  <c r="G51" i="2"/>
  <c r="F51" i="2"/>
  <c r="E51" i="2"/>
  <c r="D51" i="2"/>
  <c r="C51" i="2"/>
  <c r="M50" i="2"/>
  <c r="L50" i="2"/>
  <c r="K50" i="2"/>
  <c r="J50" i="2"/>
  <c r="I50" i="2"/>
  <c r="H50" i="2"/>
  <c r="G50" i="2"/>
  <c r="F50" i="2"/>
  <c r="E50" i="2"/>
  <c r="D50" i="2"/>
  <c r="C50" i="2"/>
  <c r="M49" i="2"/>
  <c r="L49" i="2"/>
  <c r="K49" i="2"/>
  <c r="J49" i="2"/>
  <c r="I49" i="2"/>
  <c r="H49" i="2"/>
  <c r="G49" i="2"/>
  <c r="F49" i="2"/>
  <c r="E49" i="2"/>
  <c r="D49" i="2"/>
  <c r="C49" i="2"/>
  <c r="M48" i="2"/>
  <c r="L48" i="2"/>
  <c r="K48" i="2"/>
  <c r="J48" i="2"/>
  <c r="I48" i="2"/>
  <c r="H48" i="2"/>
  <c r="G48" i="2"/>
  <c r="F48" i="2"/>
  <c r="E48" i="2"/>
  <c r="D48" i="2"/>
  <c r="C48" i="2"/>
  <c r="M47" i="2"/>
  <c r="L47" i="2"/>
  <c r="K47" i="2"/>
  <c r="J47" i="2"/>
  <c r="I47" i="2"/>
  <c r="H47" i="2"/>
  <c r="G47" i="2"/>
  <c r="F47" i="2"/>
  <c r="E47" i="2"/>
  <c r="D47" i="2"/>
  <c r="C47" i="2"/>
  <c r="M46" i="2"/>
  <c r="L46" i="2"/>
  <c r="K46" i="2"/>
  <c r="J46" i="2"/>
  <c r="I46" i="2"/>
  <c r="H46" i="2"/>
  <c r="G46" i="2"/>
  <c r="F46" i="2"/>
  <c r="E46" i="2"/>
  <c r="D46" i="2"/>
  <c r="C46" i="2"/>
  <c r="M45" i="2"/>
  <c r="L45" i="2"/>
  <c r="K45" i="2"/>
  <c r="J45" i="2"/>
  <c r="I45" i="2"/>
  <c r="H45" i="2"/>
  <c r="G45" i="2"/>
  <c r="F45" i="2"/>
  <c r="E45" i="2"/>
  <c r="D45" i="2"/>
  <c r="C45" i="2"/>
  <c r="M44" i="2"/>
  <c r="L44" i="2"/>
  <c r="K44" i="2"/>
  <c r="J44" i="2"/>
  <c r="I44" i="2"/>
  <c r="H44" i="2"/>
  <c r="G44" i="2"/>
  <c r="F44" i="2"/>
  <c r="E44" i="2"/>
  <c r="D44" i="2"/>
  <c r="C44" i="2"/>
  <c r="M43" i="2"/>
  <c r="L43" i="2"/>
  <c r="K43" i="2"/>
  <c r="J43" i="2"/>
  <c r="I43" i="2"/>
  <c r="H43" i="2"/>
  <c r="G43" i="2"/>
  <c r="F43" i="2"/>
  <c r="E43" i="2"/>
  <c r="D43" i="2"/>
  <c r="C43" i="2"/>
  <c r="B50" i="2"/>
  <c r="B49" i="2"/>
  <c r="B48" i="2"/>
  <c r="B47" i="2"/>
  <c r="B46" i="2"/>
  <c r="B45" i="2"/>
  <c r="B44" i="2"/>
  <c r="B43" i="2"/>
  <c r="B42" i="2"/>
  <c r="M62" i="2"/>
  <c r="L62" i="2"/>
  <c r="K62" i="2"/>
  <c r="J62" i="2"/>
  <c r="I62" i="2"/>
  <c r="H62" i="2"/>
  <c r="G62" i="2"/>
  <c r="F62" i="2"/>
  <c r="E62" i="2"/>
  <c r="D62" i="2"/>
  <c r="C62" i="2"/>
  <c r="M61" i="2"/>
  <c r="L61" i="2"/>
  <c r="K61" i="2"/>
  <c r="J61" i="2"/>
  <c r="I61" i="2"/>
  <c r="H61" i="2"/>
  <c r="G61" i="2"/>
  <c r="F61" i="2"/>
  <c r="E61" i="2"/>
  <c r="D61" i="2"/>
  <c r="C61" i="2"/>
  <c r="M60" i="2"/>
  <c r="L60" i="2"/>
  <c r="K60" i="2"/>
  <c r="J60" i="2"/>
  <c r="I60" i="2"/>
  <c r="H60" i="2"/>
  <c r="G60" i="2"/>
  <c r="F60" i="2"/>
  <c r="E60" i="2"/>
  <c r="D60" i="2"/>
  <c r="C60" i="2"/>
  <c r="C71" i="2"/>
  <c r="M71" i="2"/>
  <c r="L71" i="2"/>
  <c r="K71" i="2"/>
  <c r="J71" i="2"/>
  <c r="I71" i="2"/>
  <c r="H71" i="2"/>
  <c r="G71" i="2"/>
  <c r="F71" i="2"/>
  <c r="E71" i="2"/>
  <c r="D71" i="2"/>
  <c r="B71" i="2"/>
  <c r="M69" i="2"/>
  <c r="L69" i="2"/>
  <c r="K69" i="2"/>
  <c r="J69" i="2"/>
  <c r="I69" i="2"/>
  <c r="H69" i="2"/>
  <c r="G69" i="2"/>
  <c r="F69" i="2"/>
  <c r="E69" i="2"/>
  <c r="D69" i="2"/>
  <c r="C69" i="2"/>
  <c r="B69" i="2"/>
  <c r="B70" i="2"/>
  <c r="B62" i="2"/>
  <c r="B61" i="2"/>
  <c r="B60" i="2"/>
  <c r="M75" i="2"/>
  <c r="L75" i="2"/>
  <c r="K75" i="2"/>
  <c r="J75" i="2"/>
  <c r="I75" i="2"/>
  <c r="H75" i="2"/>
  <c r="G75" i="2"/>
  <c r="F75" i="2"/>
  <c r="E75" i="2"/>
  <c r="D75" i="2"/>
  <c r="C75" i="2"/>
  <c r="B75" i="2"/>
  <c r="M74" i="2"/>
  <c r="L74" i="2"/>
  <c r="K74" i="2"/>
  <c r="J74" i="2"/>
  <c r="I74" i="2"/>
  <c r="H74" i="2"/>
  <c r="G74" i="2"/>
  <c r="F74" i="2"/>
  <c r="E74" i="2"/>
  <c r="D74" i="2"/>
  <c r="C74" i="2"/>
  <c r="B74" i="2"/>
  <c r="C70" i="2"/>
  <c r="D70" i="2" s="1"/>
  <c r="E70" i="2" s="1"/>
  <c r="F70" i="2" s="1"/>
  <c r="G70" i="2" s="1"/>
  <c r="H70" i="2" s="1"/>
  <c r="I70" i="2" s="1"/>
  <c r="J70" i="2" s="1"/>
  <c r="K70" i="2" s="1"/>
  <c r="L70" i="2" s="1"/>
  <c r="M70" i="2" s="1"/>
  <c r="M95" i="2"/>
  <c r="L95" i="2"/>
  <c r="K95" i="2"/>
  <c r="J95" i="2"/>
  <c r="I95" i="2"/>
  <c r="H95" i="2"/>
  <c r="G95" i="2"/>
  <c r="F95" i="2"/>
  <c r="E95" i="2"/>
  <c r="D95" i="2"/>
  <c r="C95" i="2"/>
  <c r="B95" i="2"/>
  <c r="M9" i="2"/>
  <c r="L9" i="2"/>
  <c r="K9" i="2"/>
  <c r="J9" i="2"/>
  <c r="I9" i="2"/>
  <c r="H9" i="2"/>
  <c r="G9" i="2"/>
  <c r="F9" i="2"/>
  <c r="E9" i="2"/>
  <c r="D9" i="2"/>
  <c r="C9" i="2"/>
  <c r="B9" i="2"/>
  <c r="D109" i="1"/>
  <c r="L53" i="1"/>
  <c r="H53" i="1"/>
  <c r="F53" i="1"/>
  <c r="D53" i="1"/>
  <c r="D40" i="1"/>
  <c r="F44" i="1"/>
  <c r="B61" i="1"/>
  <c r="B60" i="1"/>
  <c r="B63" i="1"/>
  <c r="L94" i="1"/>
  <c r="J94" i="1"/>
  <c r="H94" i="1"/>
  <c r="F94" i="1"/>
  <c r="D94" i="1"/>
  <c r="D99" i="1"/>
  <c r="D98" i="1"/>
  <c r="L106" i="1"/>
  <c r="J106" i="1"/>
  <c r="H106" i="1"/>
  <c r="F106" i="1"/>
  <c r="F107" i="1"/>
  <c r="H107" i="1" s="1"/>
  <c r="J107" i="1" s="1"/>
  <c r="L107" i="1" s="1"/>
  <c r="D106" i="1"/>
  <c r="D50" i="1"/>
  <c r="D49" i="1"/>
  <c r="F40" i="1"/>
  <c r="D8" i="1"/>
  <c r="F8" i="1"/>
  <c r="F7" i="1"/>
  <c r="D7" i="1"/>
  <c r="L16" i="1"/>
  <c r="J16" i="1"/>
  <c r="H16" i="1"/>
  <c r="F16" i="1"/>
  <c r="H6" i="1"/>
  <c r="F6" i="1"/>
  <c r="D6" i="1"/>
  <c r="L110" i="1"/>
  <c r="L108" i="1"/>
  <c r="J110" i="1"/>
  <c r="J108" i="1"/>
  <c r="H110" i="1"/>
  <c r="H108" i="1"/>
  <c r="F110" i="1"/>
  <c r="F109" i="1"/>
  <c r="H109" i="1" s="1"/>
  <c r="J109" i="1" s="1"/>
  <c r="L109" i="1" s="1"/>
  <c r="F108" i="1"/>
  <c r="D107" i="1"/>
  <c r="L101" i="1"/>
  <c r="L100" i="1"/>
  <c r="L97" i="1"/>
  <c r="L96" i="1"/>
  <c r="L93" i="1"/>
  <c r="L90" i="1"/>
  <c r="L89" i="1"/>
  <c r="L87" i="1"/>
  <c r="L84" i="1"/>
  <c r="L83" i="1"/>
  <c r="L82" i="1"/>
  <c r="L80" i="1"/>
  <c r="L78" i="1"/>
  <c r="L76" i="1"/>
  <c r="J101" i="1"/>
  <c r="J100" i="1"/>
  <c r="J97" i="1"/>
  <c r="J96" i="1"/>
  <c r="J93" i="1"/>
  <c r="J90" i="1"/>
  <c r="J89" i="1"/>
  <c r="J87" i="1"/>
  <c r="J84" i="1"/>
  <c r="J83" i="1"/>
  <c r="J82" i="1"/>
  <c r="J80" i="1"/>
  <c r="J78" i="1"/>
  <c r="J76" i="1"/>
  <c r="H101" i="1"/>
  <c r="H100" i="1"/>
  <c r="H97" i="1"/>
  <c r="H96" i="1"/>
  <c r="H93" i="1"/>
  <c r="H90" i="1"/>
  <c r="H89" i="1"/>
  <c r="H87" i="1"/>
  <c r="H84" i="1"/>
  <c r="H83" i="1"/>
  <c r="H82" i="1"/>
  <c r="H80" i="1"/>
  <c r="H78" i="1"/>
  <c r="H76" i="1"/>
  <c r="D93" i="1"/>
  <c r="D84" i="1"/>
  <c r="D83" i="1"/>
  <c r="B78" i="1"/>
  <c r="F61" i="1"/>
  <c r="F68" i="1"/>
  <c r="F67" i="1"/>
  <c r="F65" i="1"/>
  <c r="F64" i="1"/>
  <c r="L60" i="1"/>
  <c r="J60" i="1"/>
  <c r="H60" i="1"/>
  <c r="F60" i="1"/>
  <c r="L59" i="1"/>
  <c r="J59" i="1"/>
  <c r="L58" i="1"/>
  <c r="J58" i="1"/>
  <c r="H58" i="1"/>
  <c r="F58" i="1"/>
  <c r="D58" i="1"/>
  <c r="L50" i="1"/>
  <c r="J50" i="1"/>
  <c r="H50" i="1"/>
  <c r="F50" i="1"/>
  <c r="L47" i="1"/>
  <c r="J47" i="1"/>
  <c r="H47" i="1"/>
  <c r="F47" i="1"/>
  <c r="L38" i="1"/>
  <c r="J38" i="1"/>
  <c r="H38" i="1"/>
  <c r="F38" i="1"/>
  <c r="L37" i="1"/>
  <c r="J37" i="1"/>
  <c r="H37" i="1"/>
  <c r="F37" i="1"/>
  <c r="J36" i="1"/>
  <c r="L36" i="1"/>
  <c r="H36" i="1"/>
  <c r="F36" i="1"/>
  <c r="D36" i="1"/>
  <c r="L23" i="1"/>
  <c r="J23" i="1"/>
  <c r="H23" i="1"/>
  <c r="F23" i="1"/>
  <c r="L5" i="1"/>
  <c r="J5" i="1"/>
  <c r="H5" i="1"/>
  <c r="F5" i="1"/>
  <c r="D5" i="1"/>
  <c r="H40" i="1" l="1"/>
  <c r="J40" i="1" s="1"/>
  <c r="L40" i="1" s="1"/>
  <c r="B103" i="4" l="1"/>
  <c r="C103" i="4" s="1"/>
  <c r="D103" i="4" s="1"/>
  <c r="E103" i="4" s="1"/>
  <c r="F103" i="4" s="1"/>
  <c r="G103" i="4" s="1"/>
  <c r="H103" i="4" s="1"/>
  <c r="I103" i="4" s="1"/>
  <c r="J103" i="4" s="1"/>
  <c r="K103" i="4" s="1"/>
  <c r="L103" i="4" s="1"/>
  <c r="M103" i="4" s="1"/>
  <c r="B29" i="2"/>
  <c r="B28" i="2"/>
  <c r="B27" i="2"/>
  <c r="B26" i="2"/>
  <c r="B24" i="2"/>
  <c r="B22" i="2"/>
  <c r="B21" i="2"/>
  <c r="B23" i="2"/>
  <c r="B25" i="2"/>
  <c r="B30" i="2"/>
  <c r="B31" i="2"/>
  <c r="B32" i="2"/>
  <c r="B33" i="2"/>
  <c r="B34" i="2"/>
  <c r="B35" i="2"/>
  <c r="B36" i="2"/>
  <c r="B37" i="2"/>
  <c r="B38" i="2"/>
  <c r="B20" i="2"/>
  <c r="N8" i="4" l="1"/>
  <c r="N8" i="3"/>
  <c r="N103" i="4"/>
  <c r="N83" i="4"/>
  <c r="N82" i="4"/>
  <c r="N81" i="4"/>
  <c r="N80" i="4"/>
  <c r="N77" i="4"/>
  <c r="N75" i="4"/>
  <c r="N70" i="4"/>
  <c r="N69" i="4"/>
  <c r="N64" i="4"/>
  <c r="N62" i="4"/>
  <c r="N47" i="4"/>
  <c r="B57" i="4"/>
  <c r="C20" i="2"/>
  <c r="C5" i="2"/>
  <c r="B5" i="2"/>
  <c r="L22" i="1"/>
  <c r="L66" i="1"/>
  <c r="L65" i="1"/>
  <c r="L64" i="1"/>
  <c r="L63" i="1"/>
  <c r="L17" i="1"/>
  <c r="L20" i="1"/>
  <c r="L21" i="1" s="1"/>
  <c r="J22" i="1"/>
  <c r="L70" i="1"/>
  <c r="J65" i="1"/>
  <c r="J64" i="1"/>
  <c r="J63" i="1"/>
  <c r="J17" i="1"/>
  <c r="J20" i="1"/>
  <c r="J21" i="1" s="1"/>
  <c r="J6" i="1"/>
  <c r="L6" i="1" s="1"/>
  <c r="H113" i="1"/>
  <c r="H22" i="1"/>
  <c r="H65" i="1"/>
  <c r="H64" i="1"/>
  <c r="H63" i="1"/>
  <c r="F101" i="1"/>
  <c r="F100" i="1"/>
  <c r="F99" i="1"/>
  <c r="H99" i="1" s="1"/>
  <c r="J99" i="1" s="1"/>
  <c r="L99" i="1" s="1"/>
  <c r="F97" i="1"/>
  <c r="F96" i="1"/>
  <c r="F22" i="1"/>
  <c r="F92" i="1"/>
  <c r="F89" i="1"/>
  <c r="F88" i="1"/>
  <c r="F86" i="1"/>
  <c r="H86" i="1" s="1"/>
  <c r="J86" i="1" s="1"/>
  <c r="L86" i="1" s="1"/>
  <c r="F85" i="1"/>
  <c r="F83" i="1"/>
  <c r="F81" i="1"/>
  <c r="H81" i="1" s="1"/>
  <c r="J81" i="1" s="1"/>
  <c r="L81" i="1" s="1"/>
  <c r="F80" i="1"/>
  <c r="F76" i="1"/>
  <c r="H67" i="1"/>
  <c r="J67" i="1" s="1"/>
  <c r="H61" i="1"/>
  <c r="J61" i="1" s="1"/>
  <c r="L61" i="1" s="1"/>
  <c r="N28" i="4"/>
  <c r="B71" i="1"/>
  <c r="D113" i="1"/>
  <c r="F91" i="1"/>
  <c r="H91" i="1" s="1"/>
  <c r="J91" i="1" s="1"/>
  <c r="L91" i="1" s="1"/>
  <c r="F98" i="1"/>
  <c r="H98" i="1" s="1"/>
  <c r="J98" i="1" s="1"/>
  <c r="L98" i="1" s="1"/>
  <c r="D22" i="1"/>
  <c r="F93" i="1"/>
  <c r="F84" i="1"/>
  <c r="F79" i="1"/>
  <c r="H54" i="1"/>
  <c r="J54" i="1" s="1"/>
  <c r="L54" i="1" s="1"/>
  <c r="N34" i="3"/>
  <c r="B34" i="3" s="1"/>
  <c r="C34" i="3" s="1"/>
  <c r="D34" i="3" s="1"/>
  <c r="E34" i="3" s="1"/>
  <c r="F34" i="3" s="1"/>
  <c r="G34" i="3" s="1"/>
  <c r="H34" i="3" s="1"/>
  <c r="I34" i="3" s="1"/>
  <c r="J34" i="3" s="1"/>
  <c r="K34" i="3" s="1"/>
  <c r="L34" i="3" s="1"/>
  <c r="M34" i="3" s="1"/>
  <c r="N30" i="3"/>
  <c r="B30" i="3" s="1"/>
  <c r="C30" i="3" s="1"/>
  <c r="D30" i="3" s="1"/>
  <c r="E30" i="3" s="1"/>
  <c r="F30" i="3" s="1"/>
  <c r="G30" i="3" s="1"/>
  <c r="H30" i="3" s="1"/>
  <c r="I30" i="3" s="1"/>
  <c r="J30" i="3" s="1"/>
  <c r="K30" i="3" s="1"/>
  <c r="L30" i="3" s="1"/>
  <c r="M30" i="3" s="1"/>
  <c r="N28" i="3"/>
  <c r="B28" i="3" s="1"/>
  <c r="C28" i="3" s="1"/>
  <c r="D28" i="3" s="1"/>
  <c r="E28" i="3" s="1"/>
  <c r="F28" i="3" s="1"/>
  <c r="G28" i="3" s="1"/>
  <c r="H28" i="3" s="1"/>
  <c r="I28" i="3" s="1"/>
  <c r="J28" i="3" s="1"/>
  <c r="K28" i="3" s="1"/>
  <c r="L28" i="3" s="1"/>
  <c r="M28" i="3" s="1"/>
  <c r="N27" i="3"/>
  <c r="B27" i="3" s="1"/>
  <c r="C27" i="3" s="1"/>
  <c r="D27" i="3" s="1"/>
  <c r="E27" i="3" s="1"/>
  <c r="F27" i="3" s="1"/>
  <c r="G27" i="3" s="1"/>
  <c r="H27" i="3" s="1"/>
  <c r="I27" i="3" s="1"/>
  <c r="J27" i="3" s="1"/>
  <c r="K27" i="3" s="1"/>
  <c r="L27" i="3" s="1"/>
  <c r="M27" i="3" s="1"/>
  <c r="N26" i="3"/>
  <c r="B26" i="3" s="1"/>
  <c r="C26" i="3" s="1"/>
  <c r="D26" i="3" s="1"/>
  <c r="E26" i="3" s="1"/>
  <c r="F26" i="3" s="1"/>
  <c r="G26" i="3" s="1"/>
  <c r="H26" i="3" s="1"/>
  <c r="I26" i="3" s="1"/>
  <c r="J26" i="3" s="1"/>
  <c r="K26" i="3" s="1"/>
  <c r="L26" i="3" s="1"/>
  <c r="M26" i="3" s="1"/>
  <c r="N24" i="3"/>
  <c r="B24" i="3" s="1"/>
  <c r="C24" i="3" s="1"/>
  <c r="D24" i="3" s="1"/>
  <c r="E24" i="3" s="1"/>
  <c r="F24" i="3" s="1"/>
  <c r="G24" i="3" s="1"/>
  <c r="H24" i="3" s="1"/>
  <c r="I24" i="3" s="1"/>
  <c r="J24" i="3" s="1"/>
  <c r="K24" i="3" s="1"/>
  <c r="L24" i="3" s="1"/>
  <c r="M24" i="3" s="1"/>
  <c r="N20" i="4"/>
  <c r="B7" i="2"/>
  <c r="C7" i="2" s="1"/>
  <c r="D7" i="2" s="1"/>
  <c r="E7" i="2" s="1"/>
  <c r="F7" i="2" s="1"/>
  <c r="G7" i="2" s="1"/>
  <c r="H7" i="2" s="1"/>
  <c r="I7" i="2" s="1"/>
  <c r="J7" i="2" s="1"/>
  <c r="K7" i="2" s="1"/>
  <c r="L7" i="2" s="1"/>
  <c r="M7" i="2" s="1"/>
  <c r="B6" i="2"/>
  <c r="C6" i="2" s="1"/>
  <c r="D6" i="2" s="1"/>
  <c r="E6" i="2" s="1"/>
  <c r="F6" i="2" s="1"/>
  <c r="G6" i="2" s="1"/>
  <c r="H6" i="2" s="1"/>
  <c r="I6" i="2" s="1"/>
  <c r="J6" i="2" s="1"/>
  <c r="K6" i="2" s="1"/>
  <c r="L6" i="2" s="1"/>
  <c r="M6" i="2" s="1"/>
  <c r="D39" i="1"/>
  <c r="D51" i="1" s="1"/>
  <c r="B3" i="2"/>
  <c r="A1" i="5"/>
  <c r="A2" i="4"/>
  <c r="A2" i="2"/>
  <c r="A2" i="3"/>
  <c r="N55" i="4"/>
  <c r="N56" i="4"/>
  <c r="C57" i="4"/>
  <c r="D57" i="4"/>
  <c r="E57" i="4"/>
  <c r="F57" i="4"/>
  <c r="G57" i="4"/>
  <c r="H57" i="4"/>
  <c r="I57" i="4"/>
  <c r="J57" i="4"/>
  <c r="K57" i="4"/>
  <c r="L57" i="4"/>
  <c r="M57" i="4"/>
  <c r="G55" i="2"/>
  <c r="C99" i="4"/>
  <c r="D99" i="4"/>
  <c r="E99" i="4"/>
  <c r="F99" i="4"/>
  <c r="G99" i="4"/>
  <c r="H99" i="4"/>
  <c r="I99" i="4"/>
  <c r="J99" i="4"/>
  <c r="K99" i="4"/>
  <c r="L99" i="4"/>
  <c r="M99" i="4"/>
  <c r="B99" i="4"/>
  <c r="N97" i="4"/>
  <c r="N98" i="4"/>
  <c r="C89" i="4"/>
  <c r="D89" i="4"/>
  <c r="E89" i="4"/>
  <c r="F89" i="4"/>
  <c r="G89" i="4"/>
  <c r="H89" i="4"/>
  <c r="I89" i="4"/>
  <c r="J89" i="4"/>
  <c r="K89" i="4"/>
  <c r="L89" i="4"/>
  <c r="M89" i="4"/>
  <c r="N87" i="4"/>
  <c r="N88" i="4"/>
  <c r="N53" i="4"/>
  <c r="N54" i="4"/>
  <c r="N37" i="4"/>
  <c r="N14" i="4"/>
  <c r="N15" i="4"/>
  <c r="N95" i="3"/>
  <c r="N96" i="3"/>
  <c r="C97" i="3"/>
  <c r="D97" i="3"/>
  <c r="E97" i="3"/>
  <c r="F97" i="3"/>
  <c r="G97" i="3"/>
  <c r="H97" i="3"/>
  <c r="I97" i="3"/>
  <c r="J97" i="3"/>
  <c r="K97" i="3"/>
  <c r="L97" i="3"/>
  <c r="M97" i="3"/>
  <c r="B97" i="3"/>
  <c r="C87" i="3"/>
  <c r="D87" i="3"/>
  <c r="E87" i="3"/>
  <c r="F87" i="3"/>
  <c r="G87" i="3"/>
  <c r="H87" i="3"/>
  <c r="I87" i="3"/>
  <c r="J87" i="3"/>
  <c r="K87" i="3"/>
  <c r="L87" i="3"/>
  <c r="M87" i="3"/>
  <c r="B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B55" i="3"/>
  <c r="N53" i="3"/>
  <c r="N54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B87" i="2"/>
  <c r="M55" i="2"/>
  <c r="L55" i="2"/>
  <c r="K55" i="2"/>
  <c r="J55" i="2"/>
  <c r="I55" i="2"/>
  <c r="H55" i="2"/>
  <c r="F55" i="2"/>
  <c r="E55" i="2"/>
  <c r="D55" i="2"/>
  <c r="C55" i="2"/>
  <c r="B55" i="2"/>
  <c r="N53" i="2"/>
  <c r="N54" i="2"/>
  <c r="N38" i="2"/>
  <c r="N37" i="2"/>
  <c r="N13" i="2"/>
  <c r="N12" i="2"/>
  <c r="B113" i="1"/>
  <c r="N36" i="2"/>
  <c r="N35" i="2"/>
  <c r="K35" i="2"/>
  <c r="N34" i="2"/>
  <c r="N33" i="2"/>
  <c r="H33" i="2"/>
  <c r="N32" i="2"/>
  <c r="N31" i="2"/>
  <c r="K31" i="2"/>
  <c r="N30" i="2"/>
  <c r="N29" i="2"/>
  <c r="I29" i="2"/>
  <c r="N28" i="2"/>
  <c r="G28" i="2" s="1"/>
  <c r="N27" i="2"/>
  <c r="C27" i="2"/>
  <c r="N26" i="2"/>
  <c r="N25" i="2"/>
  <c r="C25" i="2"/>
  <c r="N24" i="2"/>
  <c r="N22" i="2"/>
  <c r="E22" i="2"/>
  <c r="N21" i="2"/>
  <c r="N20" i="2"/>
  <c r="N36" i="4"/>
  <c r="N32" i="4"/>
  <c r="N31" i="4"/>
  <c r="N29" i="4"/>
  <c r="N25" i="4"/>
  <c r="N22" i="4"/>
  <c r="N93" i="4"/>
  <c r="N94" i="4"/>
  <c r="N95" i="4"/>
  <c r="N96" i="4"/>
  <c r="N92" i="4"/>
  <c r="N43" i="4"/>
  <c r="N44" i="4"/>
  <c r="N45" i="4"/>
  <c r="N46" i="4"/>
  <c r="N48" i="4"/>
  <c r="N49" i="4"/>
  <c r="N50" i="4"/>
  <c r="N51" i="4"/>
  <c r="N52" i="4"/>
  <c r="N42" i="4"/>
  <c r="N7" i="4"/>
  <c r="N9" i="4"/>
  <c r="N10" i="4"/>
  <c r="N11" i="4"/>
  <c r="N12" i="4"/>
  <c r="N13" i="4"/>
  <c r="N6" i="4"/>
  <c r="N61" i="4"/>
  <c r="N63" i="4"/>
  <c r="N65" i="4"/>
  <c r="N66" i="4"/>
  <c r="N67" i="4"/>
  <c r="N68" i="4"/>
  <c r="N71" i="4"/>
  <c r="N72" i="4"/>
  <c r="N73" i="4"/>
  <c r="N74" i="4"/>
  <c r="N76" i="4"/>
  <c r="N78" i="4"/>
  <c r="N79" i="4"/>
  <c r="N84" i="4"/>
  <c r="N85" i="4"/>
  <c r="N86" i="4"/>
  <c r="N60" i="4"/>
  <c r="N36" i="3"/>
  <c r="B36" i="3" s="1"/>
  <c r="C36" i="3" s="1"/>
  <c r="D36" i="3" s="1"/>
  <c r="E36" i="3" s="1"/>
  <c r="F36" i="3" s="1"/>
  <c r="G36" i="3" s="1"/>
  <c r="H36" i="3" s="1"/>
  <c r="I36" i="3" s="1"/>
  <c r="J36" i="3" s="1"/>
  <c r="K36" i="3" s="1"/>
  <c r="L36" i="3" s="1"/>
  <c r="M36" i="3" s="1"/>
  <c r="N32" i="3"/>
  <c r="B32" i="3" s="1"/>
  <c r="C32" i="3" s="1"/>
  <c r="D32" i="3" s="1"/>
  <c r="E32" i="3" s="1"/>
  <c r="F32" i="3" s="1"/>
  <c r="G32" i="3" s="1"/>
  <c r="H32" i="3" s="1"/>
  <c r="I32" i="3" s="1"/>
  <c r="J32" i="3" s="1"/>
  <c r="K32" i="3" s="1"/>
  <c r="L32" i="3" s="1"/>
  <c r="M32" i="3" s="1"/>
  <c r="N31" i="3"/>
  <c r="B31" i="3" s="1"/>
  <c r="C31" i="3" s="1"/>
  <c r="D31" i="3" s="1"/>
  <c r="E31" i="3" s="1"/>
  <c r="F31" i="3" s="1"/>
  <c r="G31" i="3" s="1"/>
  <c r="H31" i="3" s="1"/>
  <c r="I31" i="3" s="1"/>
  <c r="J31" i="3" s="1"/>
  <c r="K31" i="3" s="1"/>
  <c r="L31" i="3" s="1"/>
  <c r="M31" i="3" s="1"/>
  <c r="N29" i="3"/>
  <c r="B29" i="3" s="1"/>
  <c r="C29" i="3" s="1"/>
  <c r="D29" i="3" s="1"/>
  <c r="E29" i="3" s="1"/>
  <c r="F29" i="3" s="1"/>
  <c r="G29" i="3" s="1"/>
  <c r="H29" i="3" s="1"/>
  <c r="I29" i="3" s="1"/>
  <c r="J29" i="3" s="1"/>
  <c r="K29" i="3" s="1"/>
  <c r="L29" i="3" s="1"/>
  <c r="M29" i="3" s="1"/>
  <c r="N22" i="3"/>
  <c r="B22" i="3" s="1"/>
  <c r="C22" i="3" s="1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5" i="3"/>
  <c r="B25" i="3" s="1"/>
  <c r="C25" i="3" s="1"/>
  <c r="D25" i="3" s="1"/>
  <c r="E25" i="3" s="1"/>
  <c r="F25" i="3" s="1"/>
  <c r="G25" i="3" s="1"/>
  <c r="H25" i="3" s="1"/>
  <c r="I25" i="3" s="1"/>
  <c r="J25" i="3" s="1"/>
  <c r="K25" i="3" s="1"/>
  <c r="L25" i="3" s="1"/>
  <c r="M25" i="3" s="1"/>
  <c r="N101" i="3"/>
  <c r="N94" i="3"/>
  <c r="N93" i="3"/>
  <c r="N92" i="3"/>
  <c r="N91" i="3"/>
  <c r="N90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2" i="3"/>
  <c r="N51" i="3"/>
  <c r="N50" i="3"/>
  <c r="N49" i="3"/>
  <c r="N48" i="3"/>
  <c r="N47" i="3"/>
  <c r="N46" i="3"/>
  <c r="N45" i="3"/>
  <c r="N44" i="3"/>
  <c r="N43" i="3"/>
  <c r="N42" i="3"/>
  <c r="N15" i="3"/>
  <c r="N14" i="3"/>
  <c r="N11" i="3"/>
  <c r="N10" i="3"/>
  <c r="N9" i="3"/>
  <c r="N7" i="3"/>
  <c r="N8" i="2"/>
  <c r="N9" i="2"/>
  <c r="N10" i="2"/>
  <c r="N11" i="2"/>
  <c r="N14" i="2"/>
  <c r="N84" i="2"/>
  <c r="N15" i="2"/>
  <c r="N101" i="2"/>
  <c r="N91" i="2"/>
  <c r="N92" i="2"/>
  <c r="N93" i="2"/>
  <c r="N94" i="2"/>
  <c r="N90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58" i="2"/>
  <c r="N43" i="2"/>
  <c r="N44" i="2"/>
  <c r="N45" i="2"/>
  <c r="N46" i="2"/>
  <c r="N47" i="2"/>
  <c r="N48" i="2"/>
  <c r="N49" i="2"/>
  <c r="N50" i="2"/>
  <c r="N51" i="2"/>
  <c r="N52" i="2"/>
  <c r="N42" i="2"/>
  <c r="B20" i="1"/>
  <c r="F39" i="1"/>
  <c r="H39" i="1"/>
  <c r="B39" i="1"/>
  <c r="F20" i="1"/>
  <c r="F21" i="1" s="1"/>
  <c r="H20" i="1"/>
  <c r="D20" i="1"/>
  <c r="D21" i="1" s="1"/>
  <c r="N6" i="3"/>
  <c r="E34" i="2"/>
  <c r="K20" i="2"/>
  <c r="L26" i="2"/>
  <c r="E27" i="2"/>
  <c r="M21" i="2"/>
  <c r="L33" i="2"/>
  <c r="F29" i="2"/>
  <c r="C33" i="2"/>
  <c r="J29" i="2"/>
  <c r="E33" i="2"/>
  <c r="G29" i="2"/>
  <c r="D25" i="2"/>
  <c r="H25" i="2"/>
  <c r="J25" i="2"/>
  <c r="K25" i="2"/>
  <c r="G25" i="2"/>
  <c r="J24" i="2"/>
  <c r="L25" i="2"/>
  <c r="F34" i="2"/>
  <c r="M20" i="2"/>
  <c r="E32" i="2"/>
  <c r="L36" i="2"/>
  <c r="K28" i="2"/>
  <c r="C32" i="2"/>
  <c r="I24" i="2"/>
  <c r="I25" i="2"/>
  <c r="M29" i="2"/>
  <c r="F25" i="2"/>
  <c r="M33" i="2"/>
  <c r="M28" i="2"/>
  <c r="G24" i="2"/>
  <c r="K22" i="2"/>
  <c r="E31" i="2"/>
  <c r="B21" i="1"/>
  <c r="N5" i="2"/>
  <c r="K5" i="2" s="1"/>
  <c r="N23" i="2"/>
  <c r="I23" i="2"/>
  <c r="B55" i="1"/>
  <c r="C23" i="2"/>
  <c r="F23" i="2"/>
  <c r="L23" i="2"/>
  <c r="D23" i="2"/>
  <c r="I22" i="2"/>
  <c r="I30" i="2"/>
  <c r="D29" i="2"/>
  <c r="E35" i="2"/>
  <c r="G27" i="2"/>
  <c r="D22" i="2"/>
  <c r="C30" i="2"/>
  <c r="E20" i="2"/>
  <c r="D20" i="2"/>
  <c r="J22" i="2"/>
  <c r="D26" i="2"/>
  <c r="F30" i="2"/>
  <c r="K29" i="2"/>
  <c r="J23" i="2"/>
  <c r="H29" i="2"/>
  <c r="L30" i="2"/>
  <c r="J21" i="2"/>
  <c r="C31" i="2"/>
  <c r="H21" i="2"/>
  <c r="J30" i="2"/>
  <c r="L20" i="2"/>
  <c r="G21" i="2"/>
  <c r="C22" i="2"/>
  <c r="F31" i="2"/>
  <c r="G20" i="2"/>
  <c r="F20" i="2"/>
  <c r="H30" i="2"/>
  <c r="M30" i="2"/>
  <c r="M35" i="2"/>
  <c r="C21" i="2"/>
  <c r="K21" i="2"/>
  <c r="I20" i="2"/>
  <c r="F36" i="2"/>
  <c r="C29" i="2"/>
  <c r="L29" i="2"/>
  <c r="J20" i="2"/>
  <c r="G36" i="2"/>
  <c r="F27" i="2"/>
  <c r="L31" i="2"/>
  <c r="K32" i="2"/>
  <c r="H36" i="2"/>
  <c r="E30" i="2"/>
  <c r="M34" i="2"/>
  <c r="D36" i="2"/>
  <c r="I27" i="2"/>
  <c r="J28" i="2"/>
  <c r="E29" i="2"/>
  <c r="K30" i="2"/>
  <c r="F33" i="2"/>
  <c r="J35" i="2"/>
  <c r="I28" i="2"/>
  <c r="M32" i="2"/>
  <c r="E36" i="2"/>
  <c r="G31" i="2"/>
  <c r="M22" i="2"/>
  <c r="H32" i="2"/>
  <c r="F32" i="2"/>
  <c r="K36" i="2"/>
  <c r="C36" i="2"/>
  <c r="D30" i="2"/>
  <c r="J33" i="2"/>
  <c r="H34" i="2"/>
  <c r="L34" i="2"/>
  <c r="E25" i="2"/>
  <c r="M27" i="2"/>
  <c r="K33" i="2"/>
  <c r="L22" i="2"/>
  <c r="E21" i="2"/>
  <c r="F21" i="2"/>
  <c r="D27" i="2"/>
  <c r="I31" i="2"/>
  <c r="C35" i="2"/>
  <c r="M23" i="2"/>
  <c r="H23" i="2"/>
  <c r="K23" i="2"/>
  <c r="G23" i="2"/>
  <c r="E23" i="2"/>
  <c r="I32" i="2"/>
  <c r="D31" i="2"/>
  <c r="K27" i="2"/>
  <c r="H27" i="2"/>
  <c r="F22" i="2"/>
  <c r="M25" i="2"/>
  <c r="L35" i="2"/>
  <c r="G22" i="2"/>
  <c r="D35" i="2"/>
  <c r="J31" i="2"/>
  <c r="G33" i="2"/>
  <c r="I35" i="2"/>
  <c r="D24" i="2"/>
  <c r="M36" i="2"/>
  <c r="G30" i="2"/>
  <c r="M31" i="2"/>
  <c r="K34" i="2"/>
  <c r="C26" i="2"/>
  <c r="I33" i="2"/>
  <c r="G35" i="2"/>
  <c r="H20" i="2"/>
  <c r="I21" i="2"/>
  <c r="D33" i="2"/>
  <c r="J26" i="2"/>
  <c r="I26" i="2"/>
  <c r="D21" i="2"/>
  <c r="C24" i="2"/>
  <c r="H31" i="2"/>
  <c r="J27" i="2"/>
  <c r="H22" i="2"/>
  <c r="H35" i="2"/>
  <c r="L27" i="2"/>
  <c r="F35" i="2"/>
  <c r="E24" i="2"/>
  <c r="H24" i="2"/>
  <c r="N57" i="4" l="1"/>
  <c r="F51" i="1"/>
  <c r="L113" i="1"/>
  <c r="F113" i="1"/>
  <c r="N7" i="2"/>
  <c r="N5" i="3"/>
  <c r="L5" i="3" s="1"/>
  <c r="L16" i="3" s="1"/>
  <c r="N33" i="3"/>
  <c r="B33" i="3" s="1"/>
  <c r="C33" i="3" s="1"/>
  <c r="D33" i="3" s="1"/>
  <c r="E33" i="3" s="1"/>
  <c r="F33" i="3" s="1"/>
  <c r="G33" i="3" s="1"/>
  <c r="H33" i="3" s="1"/>
  <c r="I33" i="3" s="1"/>
  <c r="J33" i="3" s="1"/>
  <c r="K33" i="3" s="1"/>
  <c r="L33" i="3" s="1"/>
  <c r="M33" i="3" s="1"/>
  <c r="L39" i="1"/>
  <c r="N20" i="3"/>
  <c r="N21" i="3"/>
  <c r="B21" i="3" s="1"/>
  <c r="C21" i="3" s="1"/>
  <c r="D21" i="3" s="1"/>
  <c r="E21" i="3" s="1"/>
  <c r="F21" i="3" s="1"/>
  <c r="G21" i="3" s="1"/>
  <c r="H21" i="3" s="1"/>
  <c r="I21" i="3" s="1"/>
  <c r="J21" i="3" s="1"/>
  <c r="K21" i="3" s="1"/>
  <c r="L21" i="3" s="1"/>
  <c r="M21" i="3" s="1"/>
  <c r="D71" i="1"/>
  <c r="D32" i="1"/>
  <c r="E25" i="1" s="1"/>
  <c r="N6" i="2"/>
  <c r="N16" i="2" s="1"/>
  <c r="L28" i="2"/>
  <c r="C28" i="2"/>
  <c r="J32" i="1"/>
  <c r="K25" i="1" s="1"/>
  <c r="F71" i="1"/>
  <c r="L32" i="1"/>
  <c r="M29" i="1" s="1"/>
  <c r="N21" i="4"/>
  <c r="H103" i="1"/>
  <c r="F42" i="1"/>
  <c r="F43" i="1"/>
  <c r="H44" i="1"/>
  <c r="J44" i="1" s="1"/>
  <c r="L44" i="1" s="1"/>
  <c r="L103" i="1"/>
  <c r="F103" i="1"/>
  <c r="H71" i="1"/>
  <c r="B32" i="1"/>
  <c r="C30" i="1" s="1"/>
  <c r="J103" i="1"/>
  <c r="F46" i="1"/>
  <c r="F49" i="1" s="1"/>
  <c r="B103" i="1"/>
  <c r="B115" i="1" s="1"/>
  <c r="J39" i="1"/>
  <c r="L71" i="1"/>
  <c r="J71" i="1"/>
  <c r="N99" i="4"/>
  <c r="B89" i="4"/>
  <c r="N38" i="4"/>
  <c r="K16" i="2"/>
  <c r="N97" i="3"/>
  <c r="N87" i="3"/>
  <c r="N39" i="2"/>
  <c r="N97" i="2"/>
  <c r="F32" i="1"/>
  <c r="G21" i="1" s="1"/>
  <c r="N23" i="4"/>
  <c r="D103" i="1"/>
  <c r="E5" i="3"/>
  <c r="E16" i="3" s="1"/>
  <c r="H5" i="3"/>
  <c r="H16" i="3" s="1"/>
  <c r="N23" i="3"/>
  <c r="B23" i="3" s="1"/>
  <c r="C23" i="3" s="1"/>
  <c r="D23" i="3" s="1"/>
  <c r="E23" i="3" s="1"/>
  <c r="F23" i="3" s="1"/>
  <c r="G23" i="3" s="1"/>
  <c r="H23" i="3" s="1"/>
  <c r="I23" i="3" s="1"/>
  <c r="J23" i="3" s="1"/>
  <c r="K23" i="3" s="1"/>
  <c r="L23" i="3" s="1"/>
  <c r="M23" i="3" s="1"/>
  <c r="J5" i="3"/>
  <c r="J16" i="3" s="1"/>
  <c r="N16" i="3"/>
  <c r="F5" i="3"/>
  <c r="F16" i="3" s="1"/>
  <c r="G5" i="3"/>
  <c r="G16" i="3" s="1"/>
  <c r="C28" i="1"/>
  <c r="N55" i="3"/>
  <c r="M5" i="3"/>
  <c r="M16" i="3" s="1"/>
  <c r="B5" i="3"/>
  <c r="B16" i="3" s="1"/>
  <c r="I5" i="3"/>
  <c r="H21" i="1"/>
  <c r="H32" i="1"/>
  <c r="N55" i="2"/>
  <c r="N87" i="2"/>
  <c r="H28" i="2"/>
  <c r="F28" i="2"/>
  <c r="E28" i="2"/>
  <c r="D28" i="2"/>
  <c r="J36" i="2"/>
  <c r="I36" i="2"/>
  <c r="L5" i="2"/>
  <c r="L16" i="2" s="1"/>
  <c r="F5" i="2"/>
  <c r="F16" i="2" s="1"/>
  <c r="M5" i="2"/>
  <c r="M16" i="2" s="1"/>
  <c r="G5" i="2"/>
  <c r="G16" i="2" s="1"/>
  <c r="J5" i="2"/>
  <c r="J16" i="2" s="1"/>
  <c r="B16" i="2"/>
  <c r="N5" i="4"/>
  <c r="H26" i="2"/>
  <c r="H39" i="2" s="1"/>
  <c r="H99" i="2" s="1"/>
  <c r="K26" i="2"/>
  <c r="E26" i="2"/>
  <c r="E39" i="2" s="1"/>
  <c r="E99" i="2" s="1"/>
  <c r="F26" i="2"/>
  <c r="G26" i="2"/>
  <c r="M26" i="2"/>
  <c r="I34" i="2"/>
  <c r="I39" i="2" s="1"/>
  <c r="I99" i="2" s="1"/>
  <c r="G34" i="2"/>
  <c r="D34" i="2"/>
  <c r="C34" i="2"/>
  <c r="C39" i="2" s="1"/>
  <c r="C99" i="2" s="1"/>
  <c r="J34" i="2"/>
  <c r="I5" i="2"/>
  <c r="D5" i="2"/>
  <c r="D16" i="2" s="1"/>
  <c r="E5" i="2"/>
  <c r="E16" i="2" s="1"/>
  <c r="C16" i="2"/>
  <c r="H5" i="2"/>
  <c r="H16" i="2" s="1"/>
  <c r="N89" i="4"/>
  <c r="K24" i="2"/>
  <c r="K39" i="2" s="1"/>
  <c r="F24" i="2"/>
  <c r="M24" i="2"/>
  <c r="M39" i="2" s="1"/>
  <c r="M99" i="2" s="1"/>
  <c r="L24" i="2"/>
  <c r="G32" i="2"/>
  <c r="J32" i="2"/>
  <c r="L32" i="2"/>
  <c r="D32" i="2"/>
  <c r="L21" i="2"/>
  <c r="L39" i="2" s="1"/>
  <c r="L99" i="2" s="1"/>
  <c r="J113" i="1" l="1"/>
  <c r="E31" i="1"/>
  <c r="C26" i="1"/>
  <c r="E20" i="1"/>
  <c r="D5" i="3"/>
  <c r="D16" i="3" s="1"/>
  <c r="C5" i="3"/>
  <c r="C16" i="3" s="1"/>
  <c r="K5" i="3"/>
  <c r="K16" i="3" s="1"/>
  <c r="M23" i="1"/>
  <c r="K23" i="1"/>
  <c r="E22" i="1"/>
  <c r="E21" i="1"/>
  <c r="C29" i="1"/>
  <c r="K24" i="1"/>
  <c r="E24" i="1"/>
  <c r="E23" i="1"/>
  <c r="M25" i="1"/>
  <c r="M24" i="1"/>
  <c r="C27" i="1"/>
  <c r="K21" i="1"/>
  <c r="K31" i="1"/>
  <c r="K29" i="1"/>
  <c r="E29" i="1"/>
  <c r="K28" i="1"/>
  <c r="E28" i="1"/>
  <c r="C25" i="1"/>
  <c r="B20" i="3"/>
  <c r="C20" i="3" s="1"/>
  <c r="D20" i="3" s="1"/>
  <c r="E20" i="3" s="1"/>
  <c r="F20" i="3" s="1"/>
  <c r="G20" i="3" s="1"/>
  <c r="H20" i="3" s="1"/>
  <c r="I20" i="3" s="1"/>
  <c r="J20" i="3" s="1"/>
  <c r="K20" i="3" s="1"/>
  <c r="L20" i="3" s="1"/>
  <c r="M20" i="3" s="1"/>
  <c r="K27" i="1"/>
  <c r="E27" i="1"/>
  <c r="K22" i="1"/>
  <c r="K20" i="1"/>
  <c r="K30" i="1"/>
  <c r="E30" i="1"/>
  <c r="K26" i="1"/>
  <c r="E26" i="1"/>
  <c r="F39" i="2"/>
  <c r="F99" i="2" s="1"/>
  <c r="F103" i="2" s="1"/>
  <c r="C48" i="1"/>
  <c r="C97" i="1"/>
  <c r="C59" i="1"/>
  <c r="C100" i="1"/>
  <c r="C80" i="1"/>
  <c r="C60" i="1"/>
  <c r="C109" i="1"/>
  <c r="C68" i="1"/>
  <c r="C86" i="1"/>
  <c r="C69" i="1"/>
  <c r="C99" i="1"/>
  <c r="C45" i="1"/>
  <c r="C93" i="1"/>
  <c r="C89" i="1"/>
  <c r="C91" i="1"/>
  <c r="C94" i="1"/>
  <c r="C63" i="1"/>
  <c r="C110" i="1"/>
  <c r="C81" i="1"/>
  <c r="C111" i="1"/>
  <c r="C42" i="1"/>
  <c r="C39" i="1"/>
  <c r="C101" i="1"/>
  <c r="C98" i="1"/>
  <c r="C65" i="1"/>
  <c r="C67" i="1"/>
  <c r="C76" i="1"/>
  <c r="C103" i="1"/>
  <c r="C71" i="1"/>
  <c r="C88" i="1"/>
  <c r="C54" i="1"/>
  <c r="C96" i="1"/>
  <c r="C55" i="1"/>
  <c r="C87" i="1"/>
  <c r="C50" i="1"/>
  <c r="C107" i="1"/>
  <c r="C49" i="1"/>
  <c r="C47" i="1"/>
  <c r="C90" i="1"/>
  <c r="M22" i="1"/>
  <c r="G28" i="1"/>
  <c r="C24" i="1"/>
  <c r="G26" i="1"/>
  <c r="C22" i="1"/>
  <c r="G25" i="1"/>
  <c r="C21" i="1"/>
  <c r="C23" i="1"/>
  <c r="M21" i="1"/>
  <c r="G27" i="1"/>
  <c r="M28" i="1"/>
  <c r="C20" i="1"/>
  <c r="C31" i="1"/>
  <c r="M27" i="1"/>
  <c r="M26" i="1"/>
  <c r="C82" i="1"/>
  <c r="C108" i="1"/>
  <c r="C83" i="1"/>
  <c r="C66" i="1"/>
  <c r="N30" i="4"/>
  <c r="J46" i="1"/>
  <c r="L46" i="1" s="1"/>
  <c r="N27" i="4"/>
  <c r="H43" i="1"/>
  <c r="J43" i="1" s="1"/>
  <c r="L43" i="1" s="1"/>
  <c r="C43" i="1"/>
  <c r="C46" i="1"/>
  <c r="C64" i="1"/>
  <c r="C51" i="1"/>
  <c r="C112" i="1"/>
  <c r="H42" i="1"/>
  <c r="N26" i="4"/>
  <c r="C40" i="1"/>
  <c r="C74" i="1"/>
  <c r="M20" i="1"/>
  <c r="G20" i="1"/>
  <c r="C70" i="1"/>
  <c r="N24" i="4"/>
  <c r="H49" i="1"/>
  <c r="H51" i="1" s="1"/>
  <c r="C106" i="1"/>
  <c r="C95" i="1"/>
  <c r="C53" i="1"/>
  <c r="C78" i="1"/>
  <c r="C113" i="1"/>
  <c r="B4" i="5" s="1"/>
  <c r="C44" i="1"/>
  <c r="C75" i="1"/>
  <c r="C62" i="1"/>
  <c r="M31" i="1"/>
  <c r="G31" i="1"/>
  <c r="C79" i="1"/>
  <c r="C77" i="1"/>
  <c r="C61" i="1"/>
  <c r="C85" i="1"/>
  <c r="C36" i="1"/>
  <c r="C41" i="1"/>
  <c r="C52" i="1"/>
  <c r="M30" i="1"/>
  <c r="G30" i="1"/>
  <c r="C102" i="1"/>
  <c r="C84" i="1"/>
  <c r="C92" i="1"/>
  <c r="B119" i="1"/>
  <c r="B2" i="5" s="1"/>
  <c r="C37" i="1"/>
  <c r="C38" i="1"/>
  <c r="C58" i="1"/>
  <c r="G29" i="1"/>
  <c r="N33" i="4"/>
  <c r="N34" i="4"/>
  <c r="G24" i="1"/>
  <c r="G23" i="1"/>
  <c r="G22" i="1"/>
  <c r="K99" i="2"/>
  <c r="K103" i="2" s="1"/>
  <c r="I16" i="2"/>
  <c r="I103" i="2" s="1"/>
  <c r="G39" i="2"/>
  <c r="G99" i="2" s="1"/>
  <c r="G103" i="2" s="1"/>
  <c r="D39" i="2"/>
  <c r="D99" i="2" s="1"/>
  <c r="D103" i="2" s="1"/>
  <c r="N99" i="2"/>
  <c r="N103" i="2" s="1"/>
  <c r="I21" i="1"/>
  <c r="I22" i="1"/>
  <c r="I23" i="1"/>
  <c r="I24" i="1"/>
  <c r="I25" i="1"/>
  <c r="I26" i="1"/>
  <c r="I27" i="1"/>
  <c r="I28" i="1"/>
  <c r="I29" i="1"/>
  <c r="I30" i="1"/>
  <c r="I31" i="1"/>
  <c r="I20" i="1"/>
  <c r="I16" i="3"/>
  <c r="C103" i="2"/>
  <c r="L103" i="2"/>
  <c r="B39" i="2"/>
  <c r="B99" i="2" s="1"/>
  <c r="B103" i="2" s="1"/>
  <c r="E103" i="2"/>
  <c r="M5" i="4"/>
  <c r="E5" i="4"/>
  <c r="G5" i="4"/>
  <c r="H5" i="4"/>
  <c r="H16" i="4" s="1"/>
  <c r="L5" i="4"/>
  <c r="D5" i="4"/>
  <c r="N16" i="4"/>
  <c r="F5" i="4"/>
  <c r="J5" i="4"/>
  <c r="I5" i="4"/>
  <c r="C5" i="4"/>
  <c r="K5" i="4"/>
  <c r="B5" i="4"/>
  <c r="M103" i="2"/>
  <c r="J39" i="2"/>
  <c r="H103" i="2"/>
  <c r="B124" i="1" l="1"/>
  <c r="B125" i="1" s="1"/>
  <c r="B3" i="5" s="1"/>
  <c r="J49" i="1"/>
  <c r="J51" i="1" s="1"/>
  <c r="J42" i="1"/>
  <c r="L42" i="1" s="1"/>
  <c r="B105" i="2"/>
  <c r="C3" i="2" s="1"/>
  <c r="C105" i="2" s="1"/>
  <c r="D3" i="2" s="1"/>
  <c r="J99" i="2"/>
  <c r="J103" i="2" s="1"/>
  <c r="B16" i="4"/>
  <c r="K16" i="4"/>
  <c r="C16" i="4"/>
  <c r="I16" i="4"/>
  <c r="J16" i="4"/>
  <c r="F16" i="4"/>
  <c r="D16" i="4"/>
  <c r="L16" i="4"/>
  <c r="G16" i="4"/>
  <c r="E16" i="4"/>
  <c r="M16" i="4"/>
  <c r="D123" i="1"/>
  <c r="L49" i="1" l="1"/>
  <c r="L51" i="1" s="1"/>
  <c r="D105" i="2"/>
  <c r="E3" i="2" s="1"/>
  <c r="E105" i="2" l="1"/>
  <c r="F3" i="2" s="1"/>
  <c r="F105" i="2" l="1"/>
  <c r="G3" i="2" s="1"/>
  <c r="G105" i="2" l="1"/>
  <c r="H3" i="2" s="1"/>
  <c r="H105" i="2" l="1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3" i="3" l="1"/>
  <c r="N35" i="3" l="1"/>
  <c r="B35" i="3" s="1"/>
  <c r="C35" i="3" s="1"/>
  <c r="D35" i="3" s="1"/>
  <c r="E35" i="3" s="1"/>
  <c r="F35" i="3" s="1"/>
  <c r="G35" i="3" s="1"/>
  <c r="H35" i="3" s="1"/>
  <c r="I35" i="3" s="1"/>
  <c r="J35" i="3" s="1"/>
  <c r="K35" i="3" s="1"/>
  <c r="L35" i="3" s="1"/>
  <c r="M35" i="3" s="1"/>
  <c r="F55" i="1"/>
  <c r="D55" i="1"/>
  <c r="D115" i="1" s="1"/>
  <c r="L39" i="3" l="1"/>
  <c r="L99" i="3" s="1"/>
  <c r="L103" i="3" s="1"/>
  <c r="F115" i="1"/>
  <c r="G99" i="1" s="1"/>
  <c r="E102" i="1"/>
  <c r="E109" i="1"/>
  <c r="E103" i="1"/>
  <c r="E36" i="1"/>
  <c r="E39" i="1"/>
  <c r="D119" i="1"/>
  <c r="E41" i="1"/>
  <c r="E68" i="1"/>
  <c r="E111" i="1"/>
  <c r="E100" i="1"/>
  <c r="D39" i="3"/>
  <c r="D99" i="3" s="1"/>
  <c r="D103" i="3" s="1"/>
  <c r="E99" i="1"/>
  <c r="E87" i="1"/>
  <c r="E106" i="1"/>
  <c r="E67" i="1"/>
  <c r="E42" i="1"/>
  <c r="E88" i="1"/>
  <c r="E76" i="1"/>
  <c r="E98" i="1"/>
  <c r="E70" i="1"/>
  <c r="E108" i="1"/>
  <c r="E48" i="1"/>
  <c r="E49" i="1"/>
  <c r="E52" i="1"/>
  <c r="E53" i="1"/>
  <c r="E113" i="1"/>
  <c r="C4" i="5" s="1"/>
  <c r="E46" i="1"/>
  <c r="E85" i="1"/>
  <c r="E66" i="1"/>
  <c r="E80" i="1"/>
  <c r="E107" i="1"/>
  <c r="E45" i="1"/>
  <c r="E90" i="1"/>
  <c r="E43" i="1"/>
  <c r="E38" i="1"/>
  <c r="E96" i="1"/>
  <c r="E79" i="1"/>
  <c r="E69" i="1"/>
  <c r="E84" i="1"/>
  <c r="E59" i="1"/>
  <c r="E82" i="1"/>
  <c r="E61" i="1"/>
  <c r="E110" i="1"/>
  <c r="E112" i="1"/>
  <c r="E81" i="1"/>
  <c r="E71" i="1"/>
  <c r="E63" i="1"/>
  <c r="E78" i="1"/>
  <c r="E89" i="1"/>
  <c r="E74" i="1"/>
  <c r="E83" i="1"/>
  <c r="E86" i="1"/>
  <c r="E44" i="1"/>
  <c r="E62" i="1"/>
  <c r="E95" i="1"/>
  <c r="E54" i="1"/>
  <c r="E55" i="1"/>
  <c r="E58" i="1"/>
  <c r="E77" i="1"/>
  <c r="E47" i="1"/>
  <c r="E97" i="1"/>
  <c r="E51" i="1"/>
  <c r="E91" i="1"/>
  <c r="E75" i="1"/>
  <c r="E37" i="1"/>
  <c r="E65" i="1"/>
  <c r="E93" i="1"/>
  <c r="E101" i="1"/>
  <c r="E40" i="1"/>
  <c r="E94" i="1"/>
  <c r="E92" i="1"/>
  <c r="E60" i="1"/>
  <c r="E64" i="1"/>
  <c r="E50" i="1"/>
  <c r="I39" i="3"/>
  <c r="I99" i="3" s="1"/>
  <c r="I103" i="3" s="1"/>
  <c r="H39" i="3"/>
  <c r="H99" i="3" s="1"/>
  <c r="H103" i="3" s="1"/>
  <c r="C39" i="3"/>
  <c r="C99" i="3" s="1"/>
  <c r="C103" i="3" s="1"/>
  <c r="E39" i="3"/>
  <c r="E99" i="3" s="1"/>
  <c r="E103" i="3" s="1"/>
  <c r="G39" i="3"/>
  <c r="G99" i="3" s="1"/>
  <c r="G103" i="3" s="1"/>
  <c r="M39" i="3"/>
  <c r="M99" i="3" s="1"/>
  <c r="M103" i="3" s="1"/>
  <c r="J39" i="3"/>
  <c r="J99" i="3" s="1"/>
  <c r="J103" i="3" s="1"/>
  <c r="K39" i="3"/>
  <c r="K99" i="3" s="1"/>
  <c r="K103" i="3" s="1"/>
  <c r="F39" i="3"/>
  <c r="F99" i="3" s="1"/>
  <c r="F103" i="3" s="1"/>
  <c r="N35" i="4"/>
  <c r="G70" i="1" l="1"/>
  <c r="G83" i="1"/>
  <c r="G64" i="1"/>
  <c r="G93" i="1"/>
  <c r="G43" i="1"/>
  <c r="G58" i="1"/>
  <c r="G66" i="1"/>
  <c r="G107" i="1"/>
  <c r="G109" i="1"/>
  <c r="G95" i="1"/>
  <c r="G84" i="1"/>
  <c r="G91" i="1"/>
  <c r="G74" i="1"/>
  <c r="G80" i="1"/>
  <c r="G78" i="1"/>
  <c r="G61" i="1"/>
  <c r="G60" i="1"/>
  <c r="G44" i="1"/>
  <c r="G112" i="1"/>
  <c r="G41" i="1"/>
  <c r="G92" i="1"/>
  <c r="G50" i="1"/>
  <c r="G45" i="1"/>
  <c r="G101" i="1"/>
  <c r="G110" i="1"/>
  <c r="G111" i="1"/>
  <c r="G106" i="1"/>
  <c r="G37" i="1"/>
  <c r="G68" i="1"/>
  <c r="G113" i="1"/>
  <c r="D4" i="5" s="1"/>
  <c r="G39" i="1"/>
  <c r="G90" i="1"/>
  <c r="G42" i="1"/>
  <c r="G69" i="1"/>
  <c r="G63" i="1"/>
  <c r="G62" i="1"/>
  <c r="G87" i="1"/>
  <c r="G51" i="1"/>
  <c r="G36" i="1"/>
  <c r="G103" i="1"/>
  <c r="G76" i="1"/>
  <c r="G79" i="1"/>
  <c r="G108" i="1"/>
  <c r="G75" i="1"/>
  <c r="G53" i="1"/>
  <c r="G81" i="1"/>
  <c r="G59" i="1"/>
  <c r="G77" i="1"/>
  <c r="G102" i="1"/>
  <c r="G82" i="1"/>
  <c r="G46" i="1"/>
  <c r="G65" i="1"/>
  <c r="G71" i="1"/>
  <c r="G97" i="1"/>
  <c r="G94" i="1"/>
  <c r="G85" i="1"/>
  <c r="G98" i="1"/>
  <c r="G47" i="1"/>
  <c r="G54" i="1"/>
  <c r="D124" i="1"/>
  <c r="D125" i="1" s="1"/>
  <c r="C2" i="5"/>
  <c r="G88" i="1"/>
  <c r="G89" i="1"/>
  <c r="G48" i="1"/>
  <c r="G38" i="1"/>
  <c r="F119" i="1"/>
  <c r="G67" i="1"/>
  <c r="G49" i="1"/>
  <c r="G100" i="1"/>
  <c r="G40" i="1"/>
  <c r="G86" i="1"/>
  <c r="G52" i="1"/>
  <c r="G96" i="1"/>
  <c r="G55" i="1"/>
  <c r="N39" i="4"/>
  <c r="N101" i="4" s="1"/>
  <c r="N105" i="4" s="1"/>
  <c r="B39" i="4"/>
  <c r="B101" i="4" s="1"/>
  <c r="B105" i="4" s="1"/>
  <c r="M39" i="4"/>
  <c r="M101" i="4" s="1"/>
  <c r="M105" i="4" s="1"/>
  <c r="K39" i="4"/>
  <c r="K101" i="4" s="1"/>
  <c r="K105" i="4" s="1"/>
  <c r="J39" i="4"/>
  <c r="J101" i="4" s="1"/>
  <c r="J105" i="4" s="1"/>
  <c r="F39" i="4"/>
  <c r="F101" i="4" s="1"/>
  <c r="F105" i="4" s="1"/>
  <c r="L39" i="4"/>
  <c r="L101" i="4" s="1"/>
  <c r="L105" i="4" s="1"/>
  <c r="C39" i="4"/>
  <c r="C101" i="4" s="1"/>
  <c r="C105" i="4" s="1"/>
  <c r="G39" i="4"/>
  <c r="G101" i="4" s="1"/>
  <c r="G105" i="4" s="1"/>
  <c r="D39" i="4"/>
  <c r="D101" i="4" s="1"/>
  <c r="D105" i="4" s="1"/>
  <c r="I39" i="4"/>
  <c r="I101" i="4" s="1"/>
  <c r="I105" i="4" s="1"/>
  <c r="E39" i="4"/>
  <c r="E101" i="4" s="1"/>
  <c r="E105" i="4" s="1"/>
  <c r="H39" i="4"/>
  <c r="H101" i="4" s="1"/>
  <c r="H105" i="4" s="1"/>
  <c r="H55" i="1"/>
  <c r="F124" i="1" l="1"/>
  <c r="D2" i="5"/>
  <c r="C3" i="5"/>
  <c r="F123" i="1"/>
  <c r="H115" i="1"/>
  <c r="J55" i="1"/>
  <c r="F125" i="1" l="1"/>
  <c r="D3" i="5"/>
  <c r="H123" i="1"/>
  <c r="L55" i="1"/>
  <c r="J115" i="1"/>
  <c r="I36" i="1"/>
  <c r="I37" i="1"/>
  <c r="I96" i="1"/>
  <c r="I50" i="1"/>
  <c r="I92" i="1"/>
  <c r="I70" i="1"/>
  <c r="I77" i="1"/>
  <c r="I93" i="1"/>
  <c r="I64" i="1"/>
  <c r="I66" i="1"/>
  <c r="I49" i="1"/>
  <c r="I59" i="1"/>
  <c r="I83" i="1"/>
  <c r="I108" i="1"/>
  <c r="I41" i="1"/>
  <c r="I81" i="1"/>
  <c r="I103" i="1"/>
  <c r="I113" i="1"/>
  <c r="E4" i="5" s="1"/>
  <c r="I88" i="1"/>
  <c r="I61" i="1"/>
  <c r="I60" i="1"/>
  <c r="I109" i="1"/>
  <c r="I80" i="1"/>
  <c r="I69" i="1"/>
  <c r="I97" i="1"/>
  <c r="I71" i="1"/>
  <c r="I63" i="1"/>
  <c r="I53" i="1"/>
  <c r="I84" i="1"/>
  <c r="I85" i="1"/>
  <c r="I78" i="1"/>
  <c r="I99" i="1"/>
  <c r="I110" i="1"/>
  <c r="I39" i="1"/>
  <c r="I79" i="1"/>
  <c r="I58" i="1"/>
  <c r="I95" i="1"/>
  <c r="I112" i="1"/>
  <c r="I106" i="1"/>
  <c r="I40" i="1"/>
  <c r="I47" i="1"/>
  <c r="H119" i="1"/>
  <c r="I67" i="1"/>
  <c r="I62" i="1"/>
  <c r="I87" i="1"/>
  <c r="I68" i="1"/>
  <c r="I74" i="1"/>
  <c r="I102" i="1"/>
  <c r="I46" i="1"/>
  <c r="I42" i="1"/>
  <c r="I54" i="1"/>
  <c r="I94" i="1"/>
  <c r="I90" i="1"/>
  <c r="I98" i="1"/>
  <c r="I86" i="1"/>
  <c r="I75" i="1"/>
  <c r="I43" i="1"/>
  <c r="I76" i="1"/>
  <c r="I100" i="1"/>
  <c r="I91" i="1"/>
  <c r="I48" i="1"/>
  <c r="I65" i="1"/>
  <c r="I44" i="1"/>
  <c r="I89" i="1"/>
  <c r="I45" i="1"/>
  <c r="I82" i="1"/>
  <c r="I111" i="1"/>
  <c r="I52" i="1"/>
  <c r="I38" i="1"/>
  <c r="I107" i="1"/>
  <c r="I101" i="1"/>
  <c r="I51" i="1"/>
  <c r="I55" i="1"/>
  <c r="H124" i="1" l="1"/>
  <c r="H125" i="1" s="1"/>
  <c r="E2" i="5"/>
  <c r="J119" i="1"/>
  <c r="K43" i="1"/>
  <c r="K101" i="1"/>
  <c r="K90" i="1"/>
  <c r="K100" i="1"/>
  <c r="K52" i="1"/>
  <c r="K91" i="1"/>
  <c r="K64" i="1"/>
  <c r="K40" i="1"/>
  <c r="K98" i="1"/>
  <c r="K97" i="1"/>
  <c r="K59" i="1"/>
  <c r="K61" i="1"/>
  <c r="K77" i="1"/>
  <c r="K41" i="1"/>
  <c r="K110" i="1"/>
  <c r="K45" i="1"/>
  <c r="K75" i="1"/>
  <c r="K82" i="1"/>
  <c r="K37" i="1"/>
  <c r="K71" i="1"/>
  <c r="K76" i="1"/>
  <c r="K96" i="1"/>
  <c r="K83" i="1"/>
  <c r="K99" i="1"/>
  <c r="K93" i="1"/>
  <c r="K58" i="1"/>
  <c r="K102" i="1"/>
  <c r="K84" i="1"/>
  <c r="K36" i="1"/>
  <c r="K42" i="1"/>
  <c r="K68" i="1"/>
  <c r="K92" i="1"/>
  <c r="K81" i="1"/>
  <c r="K63" i="1"/>
  <c r="K107" i="1"/>
  <c r="K60" i="1"/>
  <c r="K103" i="1"/>
  <c r="K70" i="1"/>
  <c r="K50" i="1"/>
  <c r="K94" i="1"/>
  <c r="K38" i="1"/>
  <c r="K47" i="1"/>
  <c r="K95" i="1"/>
  <c r="K113" i="1"/>
  <c r="F4" i="5" s="1"/>
  <c r="K67" i="1"/>
  <c r="K80" i="1"/>
  <c r="K66" i="1"/>
  <c r="K111" i="1"/>
  <c r="K106" i="1"/>
  <c r="K109" i="1"/>
  <c r="K78" i="1"/>
  <c r="K49" i="1"/>
  <c r="K85" i="1"/>
  <c r="K39" i="1"/>
  <c r="K48" i="1"/>
  <c r="K89" i="1"/>
  <c r="K69" i="1"/>
  <c r="K88" i="1"/>
  <c r="K86" i="1"/>
  <c r="K112" i="1"/>
  <c r="K54" i="1"/>
  <c r="K87" i="1"/>
  <c r="K65" i="1"/>
  <c r="K44" i="1"/>
  <c r="K74" i="1"/>
  <c r="K46" i="1"/>
  <c r="K53" i="1"/>
  <c r="K79" i="1"/>
  <c r="K62" i="1"/>
  <c r="K108" i="1"/>
  <c r="K51" i="1"/>
  <c r="K55" i="1"/>
  <c r="L115" i="1"/>
  <c r="M55" i="1" s="1"/>
  <c r="M107" i="1" l="1"/>
  <c r="M76" i="1"/>
  <c r="M44" i="1"/>
  <c r="M59" i="1"/>
  <c r="M74" i="1"/>
  <c r="M81" i="1"/>
  <c r="M62" i="1"/>
  <c r="M100" i="1"/>
  <c r="M103" i="1"/>
  <c r="M40" i="1"/>
  <c r="M79" i="1"/>
  <c r="M58" i="1"/>
  <c r="M53" i="1"/>
  <c r="M82" i="1"/>
  <c r="M65" i="1"/>
  <c r="M36" i="1"/>
  <c r="M80" i="1"/>
  <c r="M42" i="1"/>
  <c r="M99" i="1"/>
  <c r="M70" i="1"/>
  <c r="M48" i="1"/>
  <c r="M67" i="1"/>
  <c r="M39" i="1"/>
  <c r="M61" i="1"/>
  <c r="M47" i="1"/>
  <c r="M95" i="1"/>
  <c r="M85" i="1"/>
  <c r="L119" i="1"/>
  <c r="M49" i="1"/>
  <c r="M113" i="1"/>
  <c r="G4" i="5" s="1"/>
  <c r="M108" i="1"/>
  <c r="M41" i="1"/>
  <c r="M54" i="1"/>
  <c r="M106" i="1"/>
  <c r="M68" i="1"/>
  <c r="M77" i="1"/>
  <c r="M110" i="1"/>
  <c r="M66" i="1"/>
  <c r="M83" i="1"/>
  <c r="M60" i="1"/>
  <c r="M109" i="1"/>
  <c r="M78" i="1"/>
  <c r="M86" i="1"/>
  <c r="M102" i="1"/>
  <c r="M87" i="1"/>
  <c r="M112" i="1"/>
  <c r="M101" i="1"/>
  <c r="M45" i="1"/>
  <c r="M37" i="1"/>
  <c r="M63" i="1"/>
  <c r="M84" i="1"/>
  <c r="M111" i="1"/>
  <c r="M93" i="1"/>
  <c r="M50" i="1"/>
  <c r="M96" i="1"/>
  <c r="M38" i="1"/>
  <c r="M75" i="1"/>
  <c r="M90" i="1"/>
  <c r="M91" i="1"/>
  <c r="M46" i="1"/>
  <c r="M92" i="1"/>
  <c r="M71" i="1"/>
  <c r="M69" i="1"/>
  <c r="M43" i="1"/>
  <c r="M97" i="1"/>
  <c r="M98" i="1"/>
  <c r="M89" i="1"/>
  <c r="M94" i="1"/>
  <c r="M64" i="1"/>
  <c r="M88" i="1"/>
  <c r="M52" i="1"/>
  <c r="M51" i="1"/>
  <c r="J124" i="1"/>
  <c r="F2" i="5"/>
  <c r="J123" i="1"/>
  <c r="E3" i="5"/>
  <c r="J125" i="1" l="1"/>
  <c r="L123" i="1" s="1"/>
  <c r="L124" i="1"/>
  <c r="G2" i="5"/>
  <c r="F3" i="5" l="1"/>
  <c r="L125" i="1"/>
  <c r="G3" i="5" s="1"/>
  <c r="N37" i="3" l="1"/>
  <c r="N38" i="3"/>
  <c r="N39" i="3" s="1"/>
  <c r="N99" i="3" s="1"/>
  <c r="N103" i="3" s="1"/>
  <c r="B39" i="3"/>
  <c r="B99" i="3" s="1"/>
  <c r="B103" i="3" s="1"/>
  <c r="B105" i="3" s="1"/>
  <c r="C3" i="3" s="1"/>
  <c r="C105" i="3" s="1"/>
  <c r="D3" i="3" s="1"/>
  <c r="D105" i="3" s="1"/>
  <c r="E3" i="3" s="1"/>
  <c r="E105" i="3" s="1"/>
  <c r="F3" i="3" s="1"/>
  <c r="F105" i="3" s="1"/>
  <c r="G3" i="3" s="1"/>
  <c r="G105" i="3" s="1"/>
  <c r="H3" i="3" s="1"/>
  <c r="H105" i="3" s="1"/>
  <c r="I3" i="3" s="1"/>
  <c r="I105" i="3" s="1"/>
  <c r="J3" i="3" s="1"/>
  <c r="J105" i="3" s="1"/>
  <c r="K3" i="3" s="1"/>
  <c r="K105" i="3" s="1"/>
  <c r="L3" i="3" s="1"/>
  <c r="L105" i="3" s="1"/>
  <c r="M3" i="3" s="1"/>
  <c r="M105" i="3" s="1"/>
  <c r="B3" i="4" l="1"/>
  <c r="B107" i="4" s="1"/>
  <c r="C3" i="4" s="1"/>
  <c r="C107" i="4" s="1"/>
  <c r="D3" i="4" s="1"/>
  <c r="D107" i="4" s="1"/>
  <c r="E3" i="4" s="1"/>
  <c r="E107" i="4" s="1"/>
  <c r="F3" i="4" s="1"/>
  <c r="F107" i="4" s="1"/>
  <c r="G3" i="4" s="1"/>
  <c r="G107" i="4" s="1"/>
  <c r="H3" i="4" s="1"/>
  <c r="H107" i="4" s="1"/>
  <c r="I3" i="4" s="1"/>
  <c r="I107" i="4" s="1"/>
  <c r="J3" i="4" s="1"/>
  <c r="J107" i="4" s="1"/>
  <c r="K3" i="4" s="1"/>
  <c r="K107" i="4" s="1"/>
  <c r="L3" i="4" s="1"/>
  <c r="L107" i="4" s="1"/>
  <c r="M3" i="4" s="1"/>
  <c r="M10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tc={47ADE419-EE98-FC45-A8E8-85AD41D16F72}</author>
  </authors>
  <commentList>
    <comment ref="A2" authorId="0" shapeId="0" xr:uid="{47ADE419-EE98-FC45-A8E8-85AD41D16F7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 red flags are due to a round-up formula issue that is known by the Office of Charter School Compliance. The numbers can be verified to match.</t>
        </r>
      </text>
    </comment>
  </commentList>
</comments>
</file>

<file path=xl/sharedStrings.xml><?xml version="1.0" encoding="utf-8"?>
<sst xmlns="http://schemas.openxmlformats.org/spreadsheetml/2006/main" count="500" uniqueCount="216">
  <si>
    <t>5 YEAR BUDGET PROJECTION</t>
  </si>
  <si>
    <t>Planning Year</t>
  </si>
  <si>
    <t>% of Total</t>
  </si>
  <si>
    <t>Year 1</t>
  </si>
  <si>
    <t>Year 2</t>
  </si>
  <si>
    <t>Year 3</t>
  </si>
  <si>
    <t>Year 4</t>
  </si>
  <si>
    <t>Year 5</t>
  </si>
  <si>
    <t>ASSUMPTIONS</t>
  </si>
  <si>
    <t>Notes</t>
  </si>
  <si>
    <t>Number of Students</t>
  </si>
  <si>
    <t>Facility Square Footage</t>
  </si>
  <si>
    <t>Number of Full Time Employees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</si>
  <si>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</si>
  <si>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</si>
  <si>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</si>
  <si>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</si>
  <si>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</si>
  <si>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</si>
  <si>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</si>
  <si>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</si>
  <si>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Revenue Per Pupil (State and/or Local)</t>
  </si>
  <si>
    <t>Average Teacher Salary</t>
  </si>
  <si>
    <t>REVENUES</t>
  </si>
  <si>
    <t>State and/or Local Revenue (Rev Per Pupil*# of students)</t>
  </si>
  <si>
    <t>3% District Administrative Fee (Explain any changes in notes)</t>
  </si>
  <si>
    <t>Meal Fees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</si>
  <si>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</si>
  <si>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</si>
  <si>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</si>
  <si>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</si>
  <si>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</si>
  <si>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</si>
  <si>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</si>
  <si>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</si>
  <si>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</si>
  <si>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</si>
  <si>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</si>
  <si>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</si>
  <si>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</si>
  <si>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</si>
  <si>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</si>
  <si>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</si>
  <si>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</si>
  <si>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</si>
  <si>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</si>
  <si>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</si>
  <si>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</si>
  <si>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</si>
  <si>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</si>
  <si>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</si>
  <si>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</si>
  <si>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</si>
  <si>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</si>
  <si>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</si>
  <si>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</si>
  <si>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</si>
  <si>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</si>
  <si>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</si>
  <si>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</si>
  <si>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</si>
  <si>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SERVICES &amp; SUPPLIES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</si>
  <si>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</si>
  <si>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</si>
  <si>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</si>
  <si>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</si>
  <si>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</si>
  <si>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</si>
  <si>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</si>
  <si>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</si>
  <si>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</si>
  <si>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</si>
  <si>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</si>
  <si>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</si>
  <si>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</si>
  <si>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</si>
  <si>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</si>
  <si>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</si>
  <si>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</si>
  <si>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</si>
  <si>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</si>
  <si>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</si>
  <si>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</si>
  <si>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</si>
  <si>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</si>
  <si>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</si>
  <si>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</si>
  <si>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Marketing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</si>
  <si>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</si>
  <si>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</si>
  <si>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</si>
  <si>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</si>
  <si>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</si>
  <si>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</si>
  <si>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</si>
  <si>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</si>
  <si>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</si>
  <si>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</si>
  <si>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</si>
  <si>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</si>
  <si>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Beginning Cash (Renewals, conversions, or org. funding amounts)</t>
  </si>
  <si>
    <t>Net Surplus (Deficit)</t>
  </si>
  <si>
    <t>Ending Cash</t>
  </si>
  <si>
    <t>CASH FLOW PROJECTIONS-YEAR 0/Planning Year</t>
  </si>
  <si>
    <t>July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</si>
  <si>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</si>
  <si>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</si>
  <si>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</si>
  <si>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</si>
  <si>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</si>
  <si>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</si>
  <si>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</si>
  <si>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</si>
  <si>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</si>
  <si>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>May</t>
  </si>
  <si>
    <t>June</t>
  </si>
  <si>
    <t>Total</t>
  </si>
  <si>
    <t>(A) BEGINNING CASH</t>
  </si>
  <si>
    <t>Cash Receipts:</t>
  </si>
  <si>
    <t xml:space="preserve">Per Pupil Revenue (local and state share), net LEA Admin fee </t>
  </si>
  <si>
    <t>(B) Total Receipts</t>
  </si>
  <si>
    <t>Cash Disbursements:</t>
  </si>
  <si>
    <t>(C) TOTAL DISPURSEMENTS</t>
  </si>
  <si>
    <t>CONTINGENCY FUND</t>
  </si>
  <si>
    <t xml:space="preserve">(D) NET REVENUE </t>
  </si>
  <si>
    <t>ENDING CASH (A+D)</t>
  </si>
  <si>
    <t>CASH FLOW PROJECTIONS-YEAR 1</t>
  </si>
  <si>
    <t>(D) NET REVENUE (B-C)</t>
  </si>
  <si>
    <t>CASH FLOW PROJECTIONS-YEAR 2</t>
  </si>
  <si>
    <t>work study</t>
  </si>
  <si>
    <t>Out of state field study</t>
  </si>
  <si>
    <t>Ending Cash Balance</t>
  </si>
  <si>
    <t>Total Facilities Costs&gt;15% of Total Expenses</t>
  </si>
  <si>
    <t>Cash Flow Projections: 
Do the Cash Flow Proj. From the 5yr Budget match yr 0-2 Cash Flow Proj.?</t>
  </si>
  <si>
    <t>Donation</t>
  </si>
  <si>
    <t>Grants</t>
  </si>
  <si>
    <t>Translation Service</t>
  </si>
  <si>
    <t xml:space="preserve">State salary schedule met local stipend with additional 8%. 2% step increae per year </t>
  </si>
  <si>
    <t>Meals</t>
  </si>
  <si>
    <t>FY2026</t>
  </si>
  <si>
    <t>FY2027</t>
  </si>
  <si>
    <t>FY2028</t>
  </si>
  <si>
    <t>FY2029</t>
  </si>
  <si>
    <t>FY2030</t>
  </si>
  <si>
    <t>FY2031</t>
  </si>
  <si>
    <t xml:space="preserve">School Name: Tapestry Public Charter School Clayton </t>
  </si>
  <si>
    <t>Enrollment at 50%</t>
  </si>
  <si>
    <t>l:12</t>
  </si>
  <si>
    <t xml:space="preserve">Principal, Assistant Principle </t>
  </si>
  <si>
    <t>Registrar, bookkeeper</t>
  </si>
  <si>
    <t xml:space="preserve">Facility </t>
  </si>
  <si>
    <t>Outsourced</t>
  </si>
  <si>
    <t>Foundation</t>
  </si>
  <si>
    <t>Clayton county  2% admin fee only</t>
  </si>
  <si>
    <t xml:space="preserve">Each year based on the $3.25/meal collected with 80% participation at 190 days </t>
  </si>
  <si>
    <t xml:space="preserve">Initial start fund fund 180K. Y1 starting with $50K, with 50% increate per year </t>
  </si>
  <si>
    <t xml:space="preserve">Use for facilities related expense </t>
  </si>
  <si>
    <t xml:space="preserve">Seed money from foundation </t>
  </si>
  <si>
    <t>1 Principal   Each year included 2% increase</t>
  </si>
  <si>
    <t>Auto calculate, included salary increase per average salary. Included classroom teachers and special ed teachers</t>
  </si>
  <si>
    <t>Inlcude FT special Ed coordinator and Austim Specailst. special ed teachers are included in teachers. Each year with 2% increase</t>
  </si>
  <si>
    <t>Sceretary/Registrar. Each year included 2% increase</t>
  </si>
  <si>
    <t>Facility maintainence and sanitation.  Each year included 2% increase by utilize the current service provider for current campus</t>
  </si>
  <si>
    <t xml:space="preserve">100% outsourced, in house needs will be met with other staffs. </t>
  </si>
  <si>
    <t>Projected with TRS rate at 20.78%</t>
  </si>
  <si>
    <t>Based on actual $4000 per employee. Each year incldued 2% increase with 70% participation rate</t>
  </si>
  <si>
    <t xml:space="preserve">projected with ER tax rate at 2.77%. </t>
  </si>
  <si>
    <t xml:space="preserve">Assistant priciple Y2 1 FT </t>
  </si>
  <si>
    <t xml:space="preserve">1FT nurse with 2% increase </t>
  </si>
  <si>
    <t xml:space="preserve">1PT Each year included 2% increase </t>
  </si>
  <si>
    <t>Assistant Principle</t>
  </si>
  <si>
    <t xml:space="preserve">Based on $75/student * # of student. Unit cost included 2% increase pe ryear </t>
  </si>
  <si>
    <t>Y1&amp;2 needs more, then Y3 supplies should be steablized.</t>
  </si>
  <si>
    <t xml:space="preserve">Yi pushed to Y1.  Starting with unit cost at $250/Chormbook.  Y2-5: Included additional students and replacement cost </t>
  </si>
  <si>
    <t>Program should be self sufficent</t>
  </si>
  <si>
    <t>Y1 8 classroom whiteboard $10K/unit. Y2 1 classrrom, Y3 2 adadition. Y4 Replacement cost</t>
  </si>
  <si>
    <t>Each year included 2% increase</t>
  </si>
  <si>
    <t>Assume utilitized county resources for services. Conservative measure to included some cost plus each year 2% increase</t>
  </si>
  <si>
    <t xml:space="preserve">Currently recived donation for used furnitures purchases and excessive furnitures. Y5 replacement cost </t>
  </si>
  <si>
    <t>School does not implement uniform</t>
  </si>
  <si>
    <t>This program should be self sufficent</t>
  </si>
  <si>
    <t>Y1 start up cost pushed to Y0.  Each year included 2% increase</t>
  </si>
  <si>
    <t xml:space="preserve">Y1 start up cost pushed to Y0, Y3 additional staffs </t>
  </si>
  <si>
    <t xml:space="preserve">Unit cost at $600.  Each year add additional staff computer only plus $600 replacement cost </t>
  </si>
  <si>
    <t>Based on Tapestry actual annually.  Each year included 2% increases</t>
  </si>
  <si>
    <t>Each year included 2% increase, monthly average $250</t>
  </si>
  <si>
    <t>Monthly average $10 per month. Each year included 2% increase</t>
  </si>
  <si>
    <t xml:space="preserve">Shared cost between two schools </t>
  </si>
  <si>
    <t>Professional training.  Each year included 2% increase. Y1 all new teachers. Y1 pushed to Y0</t>
  </si>
  <si>
    <t>Included in the salary</t>
  </si>
  <si>
    <t>Y0 &amp;1 more cost. Y3 staffing steable, included background and finger printing</t>
  </si>
  <si>
    <t>Y1 cost pushed to Y0 to start the recuritment prior to open. Each year included 2% increase</t>
  </si>
  <si>
    <t>2.75/meal*student*190days*80% participation rate</t>
  </si>
  <si>
    <t xml:space="preserve">School does not offer transporation </t>
  </si>
  <si>
    <t>Each year included 2% increase. Y1 pushed to Y0</t>
  </si>
  <si>
    <t>Travel</t>
  </si>
  <si>
    <t>Rennovation</t>
  </si>
  <si>
    <t>Based on actual $491/month. Each year included 2% increase</t>
  </si>
  <si>
    <t>Each year with 2% increase</t>
  </si>
  <si>
    <t>Based on Tapestry actual annually.  Each year included 2% increases, Y2 increase due to more student usage</t>
  </si>
  <si>
    <t xml:space="preserve">Y0 rennovation cost </t>
  </si>
  <si>
    <t xml:space="preserve">Sqt at 50% of the enrollment </t>
  </si>
  <si>
    <t>consevative meansure with no increase per year with 2% increase</t>
  </si>
  <si>
    <t xml:space="preserve"> Y1 :1FT art, music, PE, drama, languge. Y2: Add 1FT each year.  Each year included 2% increase.</t>
  </si>
  <si>
    <t xml:space="preserve">Facility based on FRC proposal, 1.81/sqt fee cost </t>
  </si>
  <si>
    <t>Based on Tapestry actual annually at 50%.  Each year included 2% increases</t>
  </si>
  <si>
    <t>Based on Tapestry actual annualy at 50%.  Each year included 2% increases</t>
  </si>
  <si>
    <t>Dreambox, Math and infinite campus actual at 50% Each year included 2% increase</t>
  </si>
  <si>
    <t xml:space="preserve"> PE, Art, Music and language, special ed</t>
  </si>
  <si>
    <t>Classroom teachers,</t>
  </si>
  <si>
    <t>Bookkeeper start in Y3. Each year included 2% increase</t>
  </si>
  <si>
    <t>CEO &amp; COO</t>
  </si>
  <si>
    <t>Based on Tapestry actual annually at 505 .  Each year included 2% increases, Y2 increase due to more student usage</t>
  </si>
  <si>
    <t xml:space="preserve">Foundation </t>
  </si>
  <si>
    <t>YES</t>
  </si>
  <si>
    <t>CEO salary share with Tapestry Charter school. Y1: 25%, Y2:35%, Y3-5: 50% with 50%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</si>
</sst>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/>
  </cellStyleXfs>
  <cellXfs count="88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21" fontId="0" fillId="4" borderId="2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4">
    <cellStyle name="20% - Accent1" xfId="1" builtinId="30"/>
    <cellStyle name="20% - Accent3" xfId="2" builtinId="38"/>
    <cellStyle name="Normal" xfId="0" builtinId="0"/>
    <cellStyle name="Normal 2" xfId="3" xr:uid="{1281BF64-D950-447E-A6BE-4C640AF34B68}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ndy\Downloads\NWGA%20Budget%20Draft%207%20-%201.28.25%20Facility%20Rental%20sal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yr Budget Projection"/>
      <sheetName val="Facility lending "/>
      <sheetName val="Staffing Matrix"/>
      <sheetName val="Enrollment &amp; Payroll Summary"/>
      <sheetName val="Salary Schedule "/>
      <sheetName val="Floyd County Funding"/>
      <sheetName val="Budget Kelly"/>
      <sheetName val="FRC Facility"/>
      <sheetName val="Formula Ref &amp; Validation Data"/>
    </sheetNames>
    <sheetDataSet>
      <sheetData sheetId="0"/>
      <sheetData sheetId="1"/>
      <sheetData sheetId="2">
        <row r="6">
          <cell r="F6">
            <v>1</v>
          </cell>
          <cell r="J6">
            <v>100000</v>
          </cell>
        </row>
        <row r="8">
          <cell r="J8">
            <v>0</v>
          </cell>
        </row>
        <row r="141">
          <cell r="J141">
            <v>25000</v>
          </cell>
        </row>
      </sheetData>
      <sheetData sheetId="3">
        <row r="6">
          <cell r="O6">
            <v>134</v>
          </cell>
        </row>
        <row r="8">
          <cell r="O8">
            <v>184</v>
          </cell>
        </row>
        <row r="9">
          <cell r="O9">
            <v>209</v>
          </cell>
        </row>
        <row r="10">
          <cell r="O10">
            <v>321</v>
          </cell>
        </row>
        <row r="33">
          <cell r="F33">
            <v>59708.437333333335</v>
          </cell>
        </row>
        <row r="34">
          <cell r="F34">
            <v>59508.818194285719</v>
          </cell>
        </row>
      </sheetData>
      <sheetData sheetId="4"/>
      <sheetData sheetId="5"/>
      <sheetData sheetId="6">
        <row r="48">
          <cell r="B48">
            <v>39883</v>
          </cell>
        </row>
      </sheetData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elly Cadman" id="{BC5D4AEB-6660-CA42-A6F2-C96186CC1B9E}" userId="S::kcadman@gael.org::1315fe5c-5992-469b-88a2-35b06a61ef1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01-29T23:07:14.23" personId="{BC5D4AEB-6660-CA42-A6F2-C96186CC1B9E}" id="{47ADE419-EE98-FC45-A8E8-85AD41D16F72}">
    <text>The red flags are due to a round-up formula issue that is known by the Office of Charter School Compliance. The numbers can be verified to match.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25"/>
  <sheetViews>
    <sheetView tabSelected="1" topLeftCell="B1" zoomScale="115" zoomScaleNormal="115" workbookViewId="0">
      <pane ySplit="3" topLeftCell="A30" activePane="bottomLeft" state="frozen"/>
      <selection pane="bottomLeft" activeCell="H47" sqref="H47"/>
    </sheetView>
  </sheetViews>
  <sheetFormatPr defaultColWidth="8.7265625" defaultRowHeight="14.5" x14ac:dyDescent="0.35"/>
  <cols>
    <col min="1" max="1" width="57.1796875" bestFit="1" customWidth="1"/>
    <col min="2" max="2" width="14.453125" customWidth="1"/>
    <col min="3" max="3" width="9.26953125" bestFit="1" customWidth="1"/>
    <col min="4" max="4" width="14.453125" customWidth="1"/>
    <col min="5" max="5" width="9.26953125" bestFit="1" customWidth="1"/>
    <col min="6" max="6" width="14.453125" customWidth="1"/>
    <col min="7" max="7" width="9.26953125" bestFit="1" customWidth="1"/>
    <col min="8" max="8" width="14.453125" customWidth="1"/>
    <col min="9" max="9" width="9.26953125" bestFit="1" customWidth="1"/>
    <col min="10" max="10" width="14.453125" customWidth="1"/>
    <col min="11" max="11" width="9.26953125" bestFit="1" customWidth="1"/>
    <col min="12" max="12" width="14.453125" customWidth="1"/>
    <col min="13" max="13" width="9.26953125" bestFit="1" customWidth="1"/>
    <col min="14" max="14" width="48.26953125" customWidth="1"/>
  </cols>
  <sheetData>
    <row r="1" spans="1:14" ht="26" x14ac:dyDescent="0.6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5.5" x14ac:dyDescent="0.35">
      <c r="A2" s="8" t="s">
        <v>145</v>
      </c>
      <c r="B2" s="73" t="s">
        <v>139</v>
      </c>
      <c r="C2" s="26"/>
      <c r="D2" s="73" t="s">
        <v>140</v>
      </c>
      <c r="E2" s="26"/>
      <c r="F2" s="73" t="s">
        <v>141</v>
      </c>
      <c r="G2" s="26"/>
      <c r="H2" s="73" t="s">
        <v>142</v>
      </c>
      <c r="I2" s="26"/>
      <c r="J2" s="73" t="s">
        <v>143</v>
      </c>
      <c r="K2" s="26"/>
      <c r="L2" s="73" t="s">
        <v>144</v>
      </c>
      <c r="M2" s="5"/>
      <c r="N2" s="5"/>
    </row>
    <row r="3" spans="1:14" x14ac:dyDescent="0.35">
      <c r="A3" s="5"/>
      <c r="B3" s="6" t="s">
        <v>1</v>
      </c>
      <c r="C3" s="7" t="s">
        <v>2</v>
      </c>
      <c r="D3" s="6" t="s">
        <v>3</v>
      </c>
      <c r="E3" s="7" t="s">
        <v>2</v>
      </c>
      <c r="F3" s="6" t="s">
        <v>4</v>
      </c>
      <c r="G3" s="7" t="s">
        <v>2</v>
      </c>
      <c r="H3" s="6" t="s">
        <v>5</v>
      </c>
      <c r="I3" s="7" t="s">
        <v>2</v>
      </c>
      <c r="J3" s="6" t="s">
        <v>6</v>
      </c>
      <c r="K3" s="7" t="s">
        <v>2</v>
      </c>
      <c r="L3" s="6" t="s">
        <v>7</v>
      </c>
      <c r="M3" s="7" t="s">
        <v>2</v>
      </c>
      <c r="N3" s="5"/>
    </row>
    <row r="4" spans="1:14" ht="26" x14ac:dyDescent="0.6">
      <c r="A4" s="3" t="s">
        <v>8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9</v>
      </c>
    </row>
    <row r="5" spans="1:14" x14ac:dyDescent="0.35">
      <c r="A5" s="5" t="s">
        <v>10</v>
      </c>
      <c r="B5" s="5"/>
      <c r="C5" s="68"/>
      <c r="D5" s="8">
        <f>220/2</f>
        <v>110</v>
      </c>
      <c r="E5" s="68"/>
      <c r="F5" s="8">
        <f>263/2</f>
        <v>131.5</v>
      </c>
      <c r="G5" s="68"/>
      <c r="H5" s="8">
        <f>301/2</f>
        <v>150.5</v>
      </c>
      <c r="I5" s="68"/>
      <c r="J5" s="8">
        <f>301/2</f>
        <v>150.5</v>
      </c>
      <c r="K5" s="68"/>
      <c r="L5" s="8">
        <f>301/2</f>
        <v>150.5</v>
      </c>
      <c r="M5" s="68"/>
      <c r="N5" s="8" t="s">
        <v>146</v>
      </c>
    </row>
    <row r="6" spans="1:14" x14ac:dyDescent="0.35">
      <c r="A6" s="5" t="s">
        <v>11</v>
      </c>
      <c r="B6" s="8"/>
      <c r="C6" s="68"/>
      <c r="D6" s="8">
        <f>16875/2</f>
        <v>8437.5</v>
      </c>
      <c r="E6" s="68"/>
      <c r="F6" s="8">
        <f>19875/2</f>
        <v>9937.5</v>
      </c>
      <c r="G6" s="68"/>
      <c r="H6" s="8">
        <f>22575/2</f>
        <v>11287.5</v>
      </c>
      <c r="I6" s="68"/>
      <c r="J6" s="8">
        <f>H6</f>
        <v>11287.5</v>
      </c>
      <c r="K6" s="68"/>
      <c r="L6" s="8">
        <f>J6</f>
        <v>11287.5</v>
      </c>
      <c r="M6" s="68"/>
      <c r="N6" s="8" t="s">
        <v>201</v>
      </c>
    </row>
    <row r="7" spans="1:14" x14ac:dyDescent="0.35">
      <c r="A7" s="5" t="s">
        <v>12</v>
      </c>
      <c r="B7" s="8"/>
      <c r="C7" s="68"/>
      <c r="D7" s="8">
        <f>27/2</f>
        <v>13.5</v>
      </c>
      <c r="E7" s="68"/>
      <c r="F7" s="8">
        <f>33.5/2</f>
        <v>16.75</v>
      </c>
      <c r="G7" s="68"/>
      <c r="H7" s="8">
        <v>20</v>
      </c>
      <c r="I7" s="68"/>
      <c r="J7" s="8">
        <v>20</v>
      </c>
      <c r="K7" s="68"/>
      <c r="L7" s="8">
        <v>20</v>
      </c>
      <c r="M7" s="68"/>
      <c r="N7" s="8"/>
    </row>
    <row r="8" spans="1:14" x14ac:dyDescent="0.35">
      <c r="A8" s="5" t="s">
        <v>13</v>
      </c>
      <c r="B8" s="8"/>
      <c r="C8" s="68"/>
      <c r="D8" s="8">
        <f>13.5</f>
        <v>13.5</v>
      </c>
      <c r="E8" s="68"/>
      <c r="F8" s="8">
        <f>16.75</f>
        <v>16.75</v>
      </c>
      <c r="G8" s="68"/>
      <c r="H8" s="8">
        <v>20</v>
      </c>
      <c r="I8" s="68"/>
      <c r="J8" s="8">
        <v>20</v>
      </c>
      <c r="K8" s="68"/>
      <c r="L8" s="8">
        <v>20</v>
      </c>
      <c r="M8" s="68"/>
      <c r="N8" s="8"/>
    </row>
    <row r="9" spans="1:14" x14ac:dyDescent="0.35">
      <c r="A9" s="5" t="s">
        <v>14</v>
      </c>
      <c r="B9" s="8"/>
      <c r="C9" s="68"/>
      <c r="D9" s="8">
        <v>1</v>
      </c>
      <c r="E9" s="68"/>
      <c r="F9" s="8">
        <v>2</v>
      </c>
      <c r="G9" s="68"/>
      <c r="H9" s="8">
        <v>2</v>
      </c>
      <c r="I9" s="68"/>
      <c r="J9" s="8">
        <v>2</v>
      </c>
      <c r="K9" s="68"/>
      <c r="L9" s="8">
        <v>2</v>
      </c>
      <c r="M9" s="68"/>
      <c r="N9" s="8" t="s">
        <v>148</v>
      </c>
    </row>
    <row r="10" spans="1:14" x14ac:dyDescent="0.35">
      <c r="A10" s="5" t="s">
        <v>15</v>
      </c>
      <c r="B10" s="8"/>
      <c r="C10" s="68"/>
      <c r="D10" s="8">
        <v>5</v>
      </c>
      <c r="E10" s="68"/>
      <c r="F10" s="8">
        <v>6</v>
      </c>
      <c r="G10" s="68"/>
      <c r="H10" s="8">
        <v>6.5</v>
      </c>
      <c r="I10" s="68"/>
      <c r="J10" s="8">
        <v>6.5</v>
      </c>
      <c r="K10" s="68"/>
      <c r="L10" s="8">
        <v>6.5</v>
      </c>
      <c r="M10" s="68"/>
      <c r="N10" s="8" t="s">
        <v>209</v>
      </c>
    </row>
    <row r="11" spans="1:14" x14ac:dyDescent="0.35">
      <c r="A11" s="5" t="s">
        <v>16</v>
      </c>
      <c r="B11" s="8"/>
      <c r="C11" s="68"/>
      <c r="D11" s="8">
        <v>1</v>
      </c>
      <c r="E11" s="68"/>
      <c r="F11" s="8">
        <v>2</v>
      </c>
      <c r="G11" s="68"/>
      <c r="H11" s="8">
        <v>4</v>
      </c>
      <c r="I11" s="68"/>
      <c r="J11" s="8">
        <v>4</v>
      </c>
      <c r="K11" s="68"/>
      <c r="L11" s="8">
        <v>4</v>
      </c>
      <c r="M11" s="68"/>
      <c r="N11" s="8" t="s">
        <v>208</v>
      </c>
    </row>
    <row r="12" spans="1:14" x14ac:dyDescent="0.35">
      <c r="A12" s="5" t="s">
        <v>17</v>
      </c>
      <c r="B12" s="8"/>
      <c r="C12" s="68"/>
      <c r="D12" s="8">
        <v>2</v>
      </c>
      <c r="E12" s="68"/>
      <c r="F12" s="8">
        <v>2</v>
      </c>
      <c r="G12" s="68"/>
      <c r="H12" s="8">
        <v>2</v>
      </c>
      <c r="I12" s="68"/>
      <c r="J12" s="8">
        <v>2</v>
      </c>
      <c r="K12" s="68"/>
      <c r="L12" s="8">
        <v>2</v>
      </c>
      <c r="M12" s="68"/>
      <c r="N12" s="8" t="s">
        <v>149</v>
      </c>
    </row>
    <row r="13" spans="1:14" x14ac:dyDescent="0.35">
      <c r="A13" s="5" t="s">
        <v>18</v>
      </c>
      <c r="B13" s="8"/>
      <c r="C13" s="68"/>
      <c r="D13" s="8">
        <v>1</v>
      </c>
      <c r="E13" s="68"/>
      <c r="F13" s="8">
        <v>1</v>
      </c>
      <c r="G13" s="68"/>
      <c r="H13" s="8">
        <v>1</v>
      </c>
      <c r="I13" s="68"/>
      <c r="J13" s="8">
        <v>1</v>
      </c>
      <c r="K13" s="68"/>
      <c r="L13" s="8">
        <v>1</v>
      </c>
      <c r="M13" s="68"/>
      <c r="N13" s="8" t="s">
        <v>150</v>
      </c>
    </row>
    <row r="14" spans="1:14" x14ac:dyDescent="0.35">
      <c r="A14" s="5" t="s">
        <v>19</v>
      </c>
      <c r="B14" s="8"/>
      <c r="C14" s="68"/>
      <c r="D14" s="8">
        <v>0</v>
      </c>
      <c r="E14" s="68"/>
      <c r="F14" s="8">
        <v>0</v>
      </c>
      <c r="G14" s="68"/>
      <c r="H14" s="8">
        <v>0</v>
      </c>
      <c r="I14" s="68"/>
      <c r="J14" s="8">
        <v>0</v>
      </c>
      <c r="K14" s="68"/>
      <c r="L14" s="8">
        <v>0</v>
      </c>
      <c r="M14" s="68"/>
      <c r="N14" s="8" t="s">
        <v>151</v>
      </c>
    </row>
    <row r="15" spans="1:14" x14ac:dyDescent="0.35">
      <c r="A15" s="5" t="s">
        <v>20</v>
      </c>
      <c r="B15" s="5"/>
      <c r="C15" s="68"/>
      <c r="D15" s="75" t="s">
        <v>147</v>
      </c>
      <c r="E15" s="68"/>
      <c r="F15" s="75">
        <v>5.7638888888888892E-2</v>
      </c>
      <c r="G15" s="68"/>
      <c r="H15" s="75">
        <v>5.7638888888888892E-2</v>
      </c>
      <c r="I15" s="68"/>
      <c r="J15" s="75">
        <v>5.7638888888888892E-2</v>
      </c>
      <c r="K15" s="68"/>
      <c r="L15" s="75">
        <v>5.7638888888888892E-2</v>
      </c>
      <c r="M15" s="68"/>
      <c r="N15" s="8"/>
    </row>
    <row r="16" spans="1:14" x14ac:dyDescent="0.35">
      <c r="A16" s="5" t="s">
        <v>21</v>
      </c>
      <c r="B16" s="31"/>
      <c r="C16" s="69"/>
      <c r="D16" s="32">
        <v>13571.65</v>
      </c>
      <c r="E16" s="69"/>
      <c r="F16" s="32">
        <f>D16*1.02</f>
        <v>13843.083000000001</v>
      </c>
      <c r="G16" s="69"/>
      <c r="H16" s="32">
        <f>F16*1.02</f>
        <v>14119.944660000001</v>
      </c>
      <c r="I16" s="69"/>
      <c r="J16" s="32">
        <f>H16*1.02</f>
        <v>14402.343553200002</v>
      </c>
      <c r="K16" s="69"/>
      <c r="L16" s="32">
        <f>J16*1.02</f>
        <v>14690.390424264002</v>
      </c>
      <c r="M16" s="69"/>
      <c r="N16" s="8" t="s">
        <v>202</v>
      </c>
    </row>
    <row r="17" spans="1:14" x14ac:dyDescent="0.35">
      <c r="A17" s="5" t="s">
        <v>22</v>
      </c>
      <c r="B17" s="32"/>
      <c r="C17" s="69"/>
      <c r="D17" s="32">
        <v>59000</v>
      </c>
      <c r="E17" s="69"/>
      <c r="F17" s="32">
        <v>57977.142857142855</v>
      </c>
      <c r="G17" s="69"/>
      <c r="H17" s="32">
        <v>58869.599999999999</v>
      </c>
      <c r="I17" s="69"/>
      <c r="J17" s="32">
        <f>'[1]Enrollment &amp; Payroll Summary'!F33</f>
        <v>59708.437333333335</v>
      </c>
      <c r="K17" s="69"/>
      <c r="L17" s="32">
        <f>'[1]Enrollment &amp; Payroll Summary'!F34</f>
        <v>59508.818194285719</v>
      </c>
      <c r="M17" s="69"/>
      <c r="N17" s="8" t="s">
        <v>137</v>
      </c>
    </row>
    <row r="18" spans="1:14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" x14ac:dyDescent="0.6">
      <c r="A19" s="56" t="s">
        <v>23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24</v>
      </c>
      <c r="B20" s="42">
        <f t="shared" ref="B20:L20" si="0">B16*B5</f>
        <v>0</v>
      </c>
      <c r="C20" s="61">
        <f>IF($B$32=0,"",B20/$B$32)</f>
        <v>0</v>
      </c>
      <c r="D20" s="42">
        <f t="shared" si="0"/>
        <v>1492881.5</v>
      </c>
      <c r="E20" s="61">
        <f>IF($D$32=0,"",D20/$D$32)</f>
        <v>0.96684516414262001</v>
      </c>
      <c r="F20" s="42">
        <f t="shared" si="0"/>
        <v>1820365.4145</v>
      </c>
      <c r="G20" s="61">
        <f>IF($F$32=0,"",F20/$F$32)</f>
        <v>0.96024941455248347</v>
      </c>
      <c r="H20" s="42">
        <f t="shared" si="0"/>
        <v>2125051.6713300003</v>
      </c>
      <c r="I20" s="61">
        <f>IF($H$32=0,"",H20/$H$32)</f>
        <v>0.95007958397348979</v>
      </c>
      <c r="J20" s="42">
        <f t="shared" si="0"/>
        <v>2167552.7047566003</v>
      </c>
      <c r="K20" s="61">
        <f>IF($J$32=0,"",J20/$J$32)</f>
        <v>0.92861216654516532</v>
      </c>
      <c r="L20" s="42">
        <f t="shared" si="0"/>
        <v>2210903.7588517321</v>
      </c>
      <c r="M20" s="61">
        <f>IF($L$32=0,"",L20/$L$32)</f>
        <v>0.89851832607827287</v>
      </c>
      <c r="N20" s="62"/>
    </row>
    <row r="21" spans="1:14" x14ac:dyDescent="0.35">
      <c r="A21" s="8" t="s">
        <v>25</v>
      </c>
      <c r="B21" s="32">
        <f>-(B20*0.03)</f>
        <v>0</v>
      </c>
      <c r="C21" s="61">
        <f t="shared" ref="C21:C31" si="1">IF($B$32=0,"",B21/$B$32)</f>
        <v>0</v>
      </c>
      <c r="D21" s="32">
        <f t="shared" ref="D21:L21" si="2">-(D20*0.03)</f>
        <v>-44786.445</v>
      </c>
      <c r="E21" s="61">
        <f t="shared" ref="E21:E31" si="3">IF($D$32=0,"",D21/$D$32)</f>
        <v>-2.9005354924278602E-2</v>
      </c>
      <c r="F21" s="32">
        <f t="shared" si="2"/>
        <v>-54610.962434999994</v>
      </c>
      <c r="G21" s="61">
        <f t="shared" ref="G21:G31" si="4">IF($F$32=0,"",F21/$F$32)</f>
        <v>-2.8807482436574501E-2</v>
      </c>
      <c r="H21" s="32">
        <f t="shared" si="2"/>
        <v>-63751.550139900006</v>
      </c>
      <c r="I21" s="61">
        <f t="shared" ref="I21:I31" si="5">IF($H$32=0,"",H21/$H$32)</f>
        <v>-2.8502387519204694E-2</v>
      </c>
      <c r="J21" s="32">
        <f t="shared" si="2"/>
        <v>-65026.581142698007</v>
      </c>
      <c r="K21" s="61">
        <f t="shared" ref="K21:K31" si="6">IF($J$32=0,"",J21/$J$32)</f>
        <v>-2.7858364996354957E-2</v>
      </c>
      <c r="L21" s="32">
        <f t="shared" si="2"/>
        <v>-66327.112765551967</v>
      </c>
      <c r="M21" s="61">
        <f t="shared" ref="M21:M31" si="7">IF($L$32=0,"",L21/$L$32)</f>
        <v>-2.6955549782348188E-2</v>
      </c>
      <c r="N21" s="8" t="s">
        <v>153</v>
      </c>
    </row>
    <row r="22" spans="1:14" x14ac:dyDescent="0.35">
      <c r="A22" s="5" t="s">
        <v>26</v>
      </c>
      <c r="B22" s="32"/>
      <c r="C22" s="61">
        <f t="shared" si="1"/>
        <v>0</v>
      </c>
      <c r="D22" s="32">
        <f>D94</f>
        <v>45980</v>
      </c>
      <c r="E22" s="61">
        <f t="shared" si="3"/>
        <v>2.9778345198381566E-2</v>
      </c>
      <c r="F22" s="32">
        <f>F94</f>
        <v>54967</v>
      </c>
      <c r="G22" s="61">
        <f t="shared" si="4"/>
        <v>2.8995293554401003E-2</v>
      </c>
      <c r="H22" s="32">
        <f>H94</f>
        <v>62909</v>
      </c>
      <c r="I22" s="61">
        <f t="shared" si="5"/>
        <v>2.8125695649923229E-2</v>
      </c>
      <c r="J22" s="32">
        <f>J94</f>
        <v>62909</v>
      </c>
      <c r="K22" s="61">
        <f t="shared" si="6"/>
        <v>2.6951161398287526E-2</v>
      </c>
      <c r="L22" s="32">
        <f>L94</f>
        <v>62909</v>
      </c>
      <c r="M22" s="61">
        <f t="shared" si="7"/>
        <v>2.5566417872759494E-2</v>
      </c>
      <c r="N22" s="8" t="s">
        <v>154</v>
      </c>
    </row>
    <row r="23" spans="1:14" ht="29" x14ac:dyDescent="0.35">
      <c r="A23" s="8" t="s">
        <v>134</v>
      </c>
      <c r="B23" s="32"/>
      <c r="C23" s="61">
        <f t="shared" si="1"/>
        <v>0</v>
      </c>
      <c r="D23" s="32">
        <v>50000</v>
      </c>
      <c r="E23" s="61">
        <f t="shared" si="3"/>
        <v>3.2381845583277037E-2</v>
      </c>
      <c r="F23" s="32">
        <f>D23*1.5</f>
        <v>75000</v>
      </c>
      <c r="G23" s="61">
        <f t="shared" si="4"/>
        <v>3.956277432969009E-2</v>
      </c>
      <c r="H23" s="32">
        <f>F23*1.5</f>
        <v>112500</v>
      </c>
      <c r="I23" s="61">
        <f t="shared" si="5"/>
        <v>5.0297107895791747E-2</v>
      </c>
      <c r="J23" s="32">
        <f>H23*1.5</f>
        <v>168750</v>
      </c>
      <c r="K23" s="61">
        <f t="shared" si="6"/>
        <v>7.229503705290212E-2</v>
      </c>
      <c r="L23" s="32">
        <f>J23*1.5</f>
        <v>253125</v>
      </c>
      <c r="M23" s="61">
        <f t="shared" si="7"/>
        <v>0.10287080583131582</v>
      </c>
      <c r="N23" s="76" t="s">
        <v>155</v>
      </c>
    </row>
    <row r="24" spans="1:14" x14ac:dyDescent="0.35">
      <c r="A24" s="8" t="s">
        <v>135</v>
      </c>
      <c r="B24" s="32">
        <v>225000</v>
      </c>
      <c r="C24" s="61">
        <f t="shared" si="1"/>
        <v>0.42857142857142855</v>
      </c>
      <c r="D24" s="32"/>
      <c r="E24" s="61">
        <f t="shared" si="3"/>
        <v>0</v>
      </c>
      <c r="F24" s="32"/>
      <c r="G24" s="61">
        <f t="shared" si="4"/>
        <v>0</v>
      </c>
      <c r="H24" s="32"/>
      <c r="I24" s="61">
        <f t="shared" si="5"/>
        <v>0</v>
      </c>
      <c r="J24" s="32"/>
      <c r="K24" s="61">
        <f t="shared" si="6"/>
        <v>0</v>
      </c>
      <c r="L24" s="32"/>
      <c r="M24" s="61">
        <f t="shared" si="7"/>
        <v>0</v>
      </c>
      <c r="N24" s="76" t="s">
        <v>156</v>
      </c>
    </row>
    <row r="25" spans="1:14" x14ac:dyDescent="0.35">
      <c r="A25" s="8" t="s">
        <v>152</v>
      </c>
      <c r="B25" s="32">
        <v>300000</v>
      </c>
      <c r="C25" s="61">
        <f t="shared" si="1"/>
        <v>0.5714285714285714</v>
      </c>
      <c r="D25" s="32"/>
      <c r="E25" s="61">
        <f t="shared" si="3"/>
        <v>0</v>
      </c>
      <c r="F25" s="32"/>
      <c r="G25" s="61">
        <f t="shared" si="4"/>
        <v>0</v>
      </c>
      <c r="H25" s="32"/>
      <c r="I25" s="61">
        <f t="shared" si="5"/>
        <v>0</v>
      </c>
      <c r="J25" s="32"/>
      <c r="K25" s="61">
        <f t="shared" si="6"/>
        <v>0</v>
      </c>
      <c r="L25" s="32"/>
      <c r="M25" s="61">
        <f t="shared" si="7"/>
        <v>0</v>
      </c>
      <c r="N25" s="8" t="s">
        <v>157</v>
      </c>
    </row>
    <row r="26" spans="1:14" x14ac:dyDescent="0.35">
      <c r="A26" s="8"/>
      <c r="B26" s="32"/>
      <c r="C26" s="61">
        <f t="shared" si="1"/>
        <v>0</v>
      </c>
      <c r="D26" s="32"/>
      <c r="E26" s="61">
        <f t="shared" si="3"/>
        <v>0</v>
      </c>
      <c r="F26" s="32"/>
      <c r="G26" s="61">
        <f t="shared" si="4"/>
        <v>0</v>
      </c>
      <c r="H26" s="32"/>
      <c r="I26" s="61">
        <f t="shared" si="5"/>
        <v>0</v>
      </c>
      <c r="J26" s="32"/>
      <c r="K26" s="61">
        <f t="shared" si="6"/>
        <v>0</v>
      </c>
      <c r="L26" s="32"/>
      <c r="M26" s="61">
        <f t="shared" si="7"/>
        <v>0</v>
      </c>
      <c r="N26" s="8"/>
    </row>
    <row r="27" spans="1:14" x14ac:dyDescent="0.35">
      <c r="A27" s="8"/>
      <c r="B27" s="32"/>
      <c r="C27" s="61">
        <f t="shared" si="1"/>
        <v>0</v>
      </c>
      <c r="D27" s="32"/>
      <c r="E27" s="61">
        <f t="shared" si="3"/>
        <v>0</v>
      </c>
      <c r="F27" s="32"/>
      <c r="G27" s="61">
        <f t="shared" si="4"/>
        <v>0</v>
      </c>
      <c r="H27" s="32"/>
      <c r="I27" s="61">
        <f t="shared" si="5"/>
        <v>0</v>
      </c>
      <c r="J27" s="32"/>
      <c r="K27" s="61">
        <f t="shared" si="6"/>
        <v>0</v>
      </c>
      <c r="L27" s="32"/>
      <c r="M27" s="61">
        <f t="shared" si="7"/>
        <v>0</v>
      </c>
      <c r="N27" s="8"/>
    </row>
    <row r="28" spans="1:14" x14ac:dyDescent="0.35">
      <c r="A28" s="8"/>
      <c r="B28" s="32"/>
      <c r="C28" s="61">
        <f t="shared" si="1"/>
        <v>0</v>
      </c>
      <c r="D28" s="32"/>
      <c r="E28" s="61">
        <f t="shared" si="3"/>
        <v>0</v>
      </c>
      <c r="F28" s="32"/>
      <c r="G28" s="61">
        <f t="shared" si="4"/>
        <v>0</v>
      </c>
      <c r="H28" s="32"/>
      <c r="I28" s="61">
        <f t="shared" si="5"/>
        <v>0</v>
      </c>
      <c r="J28" s="32"/>
      <c r="K28" s="61">
        <f t="shared" si="6"/>
        <v>0</v>
      </c>
      <c r="L28" s="32"/>
      <c r="M28" s="61">
        <f t="shared" si="7"/>
        <v>0</v>
      </c>
      <c r="N28" s="8"/>
    </row>
    <row r="29" spans="1:14" x14ac:dyDescent="0.35">
      <c r="A29" s="8"/>
      <c r="B29" s="32"/>
      <c r="C29" s="61">
        <f t="shared" si="1"/>
        <v>0</v>
      </c>
      <c r="D29" s="32"/>
      <c r="E29" s="61">
        <f t="shared" si="3"/>
        <v>0</v>
      </c>
      <c r="F29" s="32"/>
      <c r="G29" s="61">
        <f t="shared" si="4"/>
        <v>0</v>
      </c>
      <c r="H29" s="32"/>
      <c r="I29" s="61">
        <f t="shared" si="5"/>
        <v>0</v>
      </c>
      <c r="J29" s="32"/>
      <c r="K29" s="61">
        <f t="shared" si="6"/>
        <v>0</v>
      </c>
      <c r="L29" s="32"/>
      <c r="M29" s="61">
        <f t="shared" si="7"/>
        <v>0</v>
      </c>
      <c r="N29" s="8"/>
    </row>
    <row r="30" spans="1:14" x14ac:dyDescent="0.35">
      <c r="A30" s="8"/>
      <c r="B30" s="32"/>
      <c r="C30" s="61">
        <f t="shared" si="1"/>
        <v>0</v>
      </c>
      <c r="D30" s="32"/>
      <c r="E30" s="61">
        <f t="shared" si="3"/>
        <v>0</v>
      </c>
      <c r="F30" s="32"/>
      <c r="G30" s="61">
        <f t="shared" si="4"/>
        <v>0</v>
      </c>
      <c r="H30" s="32"/>
      <c r="I30" s="61">
        <f t="shared" si="5"/>
        <v>0</v>
      </c>
      <c r="J30" s="32"/>
      <c r="K30" s="61">
        <f t="shared" si="6"/>
        <v>0</v>
      </c>
      <c r="L30" s="32"/>
      <c r="M30" s="61">
        <f t="shared" si="7"/>
        <v>0</v>
      </c>
      <c r="N30" s="8"/>
    </row>
    <row r="31" spans="1:14" x14ac:dyDescent="0.35">
      <c r="A31" s="8"/>
      <c r="B31" s="32"/>
      <c r="C31" s="61">
        <f t="shared" si="1"/>
        <v>0</v>
      </c>
      <c r="D31" s="32"/>
      <c r="E31" s="61">
        <f t="shared" si="3"/>
        <v>0</v>
      </c>
      <c r="F31" s="32"/>
      <c r="G31" s="61">
        <f t="shared" si="4"/>
        <v>0</v>
      </c>
      <c r="H31" s="32"/>
      <c r="I31" s="61">
        <f t="shared" si="5"/>
        <v>0</v>
      </c>
      <c r="J31" s="32"/>
      <c r="K31" s="61">
        <f t="shared" si="6"/>
        <v>0</v>
      </c>
      <c r="L31" s="32"/>
      <c r="M31" s="61">
        <f t="shared" si="7"/>
        <v>0</v>
      </c>
      <c r="N31" s="8"/>
    </row>
    <row r="32" spans="1:14" x14ac:dyDescent="0.35">
      <c r="A32" s="10" t="s">
        <v>27</v>
      </c>
      <c r="B32" s="33">
        <f>SUM(B20:B31)</f>
        <v>525000</v>
      </c>
      <c r="C32" s="10"/>
      <c r="D32" s="33">
        <f>SUM(D20:D31)</f>
        <v>1544075.0549999999</v>
      </c>
      <c r="E32" s="10"/>
      <c r="F32" s="33">
        <f>SUM(F20:F31)</f>
        <v>1895721.4520649998</v>
      </c>
      <c r="G32" s="10"/>
      <c r="H32" s="33">
        <f>SUM(H20:H31)</f>
        <v>2236709.1211901</v>
      </c>
      <c r="I32" s="10"/>
      <c r="J32" s="33">
        <f>SUM(J20:J31)</f>
        <v>2334185.1236139024</v>
      </c>
      <c r="K32" s="10"/>
      <c r="L32" s="33">
        <f>SUM(L20:L31)</f>
        <v>2460610.6460861801</v>
      </c>
      <c r="M32" s="5"/>
      <c r="N32" s="8"/>
    </row>
    <row r="33" spans="1:14" x14ac:dyDescent="0.35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" x14ac:dyDescent="0.6">
      <c r="A34" s="45" t="s">
        <v>28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 x14ac:dyDescent="0.35">
      <c r="A35" s="54" t="s">
        <v>29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 x14ac:dyDescent="0.35">
      <c r="A36" s="52" t="s">
        <v>30</v>
      </c>
      <c r="B36" s="53"/>
      <c r="C36" s="61">
        <f t="shared" ref="C36:C55" si="8">B36/B$115</f>
        <v>0</v>
      </c>
      <c r="D36" s="53">
        <f>'[1]Staffing Matrix'!J6+'[1]Staffing Matrix'!J8</f>
        <v>100000</v>
      </c>
      <c r="E36" s="61">
        <f t="shared" ref="E36:E55" si="9">D36/D$115</f>
        <v>6.5674388189703226E-2</v>
      </c>
      <c r="F36" s="53">
        <f>D36*1.02</f>
        <v>102000</v>
      </c>
      <c r="G36" s="61">
        <f t="shared" ref="G36:G55" si="10">F36/F$115</f>
        <v>5.5629927350737754E-2</v>
      </c>
      <c r="H36" s="53">
        <f>F36*1.02</f>
        <v>104040</v>
      </c>
      <c r="I36" s="61">
        <f t="shared" ref="I36:I55" si="11">H36/H$115</f>
        <v>4.9264028212798891E-2</v>
      </c>
      <c r="J36" s="53">
        <f>H36*1.02</f>
        <v>106120.8</v>
      </c>
      <c r="K36" s="61">
        <f t="shared" ref="K36:K55" si="12">J36/J$115</f>
        <v>4.9050390518710185E-2</v>
      </c>
      <c r="L36" s="53">
        <f>J36*1.02</f>
        <v>108243.216</v>
      </c>
      <c r="M36" s="61">
        <f t="shared" ref="M36:M55" si="13">L36/L$115</f>
        <v>4.8599282230213897E-2</v>
      </c>
      <c r="N36" s="62" t="s">
        <v>158</v>
      </c>
    </row>
    <row r="37" spans="1:14" x14ac:dyDescent="0.35">
      <c r="A37" s="5" t="s">
        <v>31</v>
      </c>
      <c r="B37" s="32"/>
      <c r="C37" s="9">
        <f t="shared" si="8"/>
        <v>0</v>
      </c>
      <c r="D37" s="32">
        <v>59000</v>
      </c>
      <c r="E37" s="9">
        <f t="shared" si="9"/>
        <v>3.8747889031924908E-2</v>
      </c>
      <c r="F37" s="32">
        <f>D37*1.02</f>
        <v>60180</v>
      </c>
      <c r="G37" s="9">
        <f t="shared" si="10"/>
        <v>3.2821657136935273E-2</v>
      </c>
      <c r="H37" s="32">
        <f>F37*1.02</f>
        <v>61383.6</v>
      </c>
      <c r="I37" s="9">
        <f t="shared" si="11"/>
        <v>2.9065776645551343E-2</v>
      </c>
      <c r="J37" s="32">
        <f>H37*1.02</f>
        <v>62611.271999999997</v>
      </c>
      <c r="K37" s="9">
        <f t="shared" si="12"/>
        <v>2.8939730406039008E-2</v>
      </c>
      <c r="L37" s="32">
        <f>J37*1.02</f>
        <v>63863.497439999999</v>
      </c>
      <c r="M37" s="9">
        <f t="shared" si="13"/>
        <v>2.8673576515826197E-2</v>
      </c>
      <c r="N37" s="8" t="s">
        <v>168</v>
      </c>
    </row>
    <row r="38" spans="1:14" x14ac:dyDescent="0.35">
      <c r="A38" s="5" t="s">
        <v>32</v>
      </c>
      <c r="B38" s="32"/>
      <c r="C38" s="9">
        <f t="shared" si="8"/>
        <v>0</v>
      </c>
      <c r="D38" s="32">
        <v>22500</v>
      </c>
      <c r="E38" s="9">
        <f t="shared" si="9"/>
        <v>1.4776737342683227E-2</v>
      </c>
      <c r="F38" s="32">
        <f>D38*1.02</f>
        <v>22950</v>
      </c>
      <c r="G38" s="9">
        <f t="shared" si="10"/>
        <v>1.2516733653915995E-2</v>
      </c>
      <c r="H38" s="32">
        <f>F38*1.02</f>
        <v>23409</v>
      </c>
      <c r="I38" s="9">
        <f t="shared" si="11"/>
        <v>1.1084406347879749E-2</v>
      </c>
      <c r="J38" s="32">
        <f>H38*1.02</f>
        <v>23877.18</v>
      </c>
      <c r="K38" s="9">
        <f t="shared" si="12"/>
        <v>1.1036337866709791E-2</v>
      </c>
      <c r="L38" s="32">
        <f>J38*1.02</f>
        <v>24354.723600000001</v>
      </c>
      <c r="M38" s="9">
        <f t="shared" si="13"/>
        <v>1.0934838501798126E-2</v>
      </c>
      <c r="N38" s="8" t="s">
        <v>169</v>
      </c>
    </row>
    <row r="39" spans="1:14" x14ac:dyDescent="0.35">
      <c r="A39" s="5" t="s">
        <v>33</v>
      </c>
      <c r="B39" s="31">
        <f>B10*B17</f>
        <v>0</v>
      </c>
      <c r="C39" s="9">
        <f t="shared" si="8"/>
        <v>0</v>
      </c>
      <c r="D39" s="31">
        <f t="shared" ref="D39:L39" si="14">D10*D17</f>
        <v>295000</v>
      </c>
      <c r="E39" s="9">
        <f t="shared" si="9"/>
        <v>0.19373944515962455</v>
      </c>
      <c r="F39" s="31">
        <f t="shared" si="14"/>
        <v>347862.85714285716</v>
      </c>
      <c r="G39" s="9">
        <f t="shared" si="10"/>
        <v>0.18972142618507068</v>
      </c>
      <c r="H39" s="31">
        <f t="shared" si="14"/>
        <v>382652.39999999997</v>
      </c>
      <c r="I39" s="9">
        <f t="shared" si="11"/>
        <v>0.18118991377638605</v>
      </c>
      <c r="J39" s="31">
        <f t="shared" si="14"/>
        <v>388104.84266666666</v>
      </c>
      <c r="K39" s="9">
        <f t="shared" si="12"/>
        <v>0.17938702021660763</v>
      </c>
      <c r="L39" s="31">
        <f t="shared" si="14"/>
        <v>386807.31826285715</v>
      </c>
      <c r="M39" s="9">
        <f t="shared" si="13"/>
        <v>0.17366961850956797</v>
      </c>
      <c r="N39" s="8" t="s">
        <v>159</v>
      </c>
    </row>
    <row r="40" spans="1:14" x14ac:dyDescent="0.35">
      <c r="A40" s="5" t="s">
        <v>34</v>
      </c>
      <c r="B40" s="32"/>
      <c r="C40" s="9">
        <f t="shared" si="8"/>
        <v>0</v>
      </c>
      <c r="D40" s="32">
        <f>59000</f>
        <v>59000</v>
      </c>
      <c r="E40" s="9">
        <f t="shared" si="9"/>
        <v>3.8747889031924908E-2</v>
      </c>
      <c r="F40" s="32">
        <f>D40*1.02</f>
        <v>60180</v>
      </c>
      <c r="G40" s="9">
        <f t="shared" si="10"/>
        <v>3.2821657136935273E-2</v>
      </c>
      <c r="H40" s="32">
        <f>F40*1.02+59000</f>
        <v>120383.6</v>
      </c>
      <c r="I40" s="9">
        <f t="shared" si="11"/>
        <v>5.7002893759691434E-2</v>
      </c>
      <c r="J40" s="32">
        <f>H40*1.02</f>
        <v>122791.27200000001</v>
      </c>
      <c r="K40" s="9">
        <f t="shared" si="12"/>
        <v>5.6755695809767394E-2</v>
      </c>
      <c r="L40" s="32">
        <f>J40*1.02</f>
        <v>125247.09744000001</v>
      </c>
      <c r="M40" s="9">
        <f t="shared" si="13"/>
        <v>5.623372310927699E-2</v>
      </c>
      <c r="N40" s="8" t="s">
        <v>203</v>
      </c>
    </row>
    <row r="41" spans="1:14" x14ac:dyDescent="0.35">
      <c r="A41" s="5" t="s">
        <v>35</v>
      </c>
      <c r="B41" s="32"/>
      <c r="C41" s="9">
        <f t="shared" si="8"/>
        <v>0</v>
      </c>
      <c r="D41" s="32"/>
      <c r="E41" s="9">
        <f t="shared" si="9"/>
        <v>0</v>
      </c>
      <c r="F41" s="32"/>
      <c r="G41" s="9">
        <f t="shared" si="10"/>
        <v>0</v>
      </c>
      <c r="H41" s="32"/>
      <c r="I41" s="9">
        <f t="shared" si="11"/>
        <v>0</v>
      </c>
      <c r="J41" s="32"/>
      <c r="K41" s="9">
        <f t="shared" si="12"/>
        <v>0</v>
      </c>
      <c r="L41" s="32"/>
      <c r="M41" s="9">
        <f t="shared" si="13"/>
        <v>0</v>
      </c>
      <c r="N41" s="8"/>
    </row>
    <row r="42" spans="1:14" x14ac:dyDescent="0.35">
      <c r="A42" s="5" t="s">
        <v>36</v>
      </c>
      <c r="B42" s="32"/>
      <c r="C42" s="9">
        <f t="shared" si="8"/>
        <v>0</v>
      </c>
      <c r="D42" s="32"/>
      <c r="E42" s="9">
        <f t="shared" si="9"/>
        <v>0</v>
      </c>
      <c r="F42" s="32">
        <f>D42*1.02</f>
        <v>0</v>
      </c>
      <c r="G42" s="9">
        <f t="shared" si="10"/>
        <v>0</v>
      </c>
      <c r="H42" s="32">
        <f>F42*1.02</f>
        <v>0</v>
      </c>
      <c r="I42" s="9">
        <f t="shared" si="11"/>
        <v>0</v>
      </c>
      <c r="J42" s="32">
        <f>H42*1.02+'[1]Staffing Matrix'!J141</f>
        <v>25000</v>
      </c>
      <c r="K42" s="9">
        <f t="shared" si="12"/>
        <v>1.15553196260088E-2</v>
      </c>
      <c r="L42" s="32">
        <f>J42*1.02</f>
        <v>25500</v>
      </c>
      <c r="M42" s="9">
        <f t="shared" si="13"/>
        <v>1.1449047272121463E-2</v>
      </c>
      <c r="N42" s="8"/>
    </row>
    <row r="43" spans="1:14" x14ac:dyDescent="0.35">
      <c r="A43" s="5" t="s">
        <v>37</v>
      </c>
      <c r="B43" s="32"/>
      <c r="C43" s="9">
        <f t="shared" si="8"/>
        <v>0</v>
      </c>
      <c r="D43" s="32">
        <v>75000</v>
      </c>
      <c r="E43" s="9">
        <f t="shared" si="9"/>
        <v>4.9255791142277426E-2</v>
      </c>
      <c r="F43" s="32">
        <f>D43*1.02</f>
        <v>76500</v>
      </c>
      <c r="G43" s="9">
        <f t="shared" si="10"/>
        <v>4.1722445513053312E-2</v>
      </c>
      <c r="H43" s="32">
        <f>F43*1.02</f>
        <v>78030</v>
      </c>
      <c r="I43" s="9">
        <f t="shared" si="11"/>
        <v>3.6948021159599165E-2</v>
      </c>
      <c r="J43" s="32">
        <f>H43*1.02</f>
        <v>79590.600000000006</v>
      </c>
      <c r="K43" s="9">
        <f t="shared" si="12"/>
        <v>3.6787792889032639E-2</v>
      </c>
      <c r="L43" s="32">
        <f>J43*1.02</f>
        <v>81182.412000000011</v>
      </c>
      <c r="M43" s="9">
        <f t="shared" si="13"/>
        <v>3.644946167266043E-2</v>
      </c>
      <c r="N43" s="8" t="s">
        <v>160</v>
      </c>
    </row>
    <row r="44" spans="1:14" x14ac:dyDescent="0.35">
      <c r="A44" s="5" t="s">
        <v>38</v>
      </c>
      <c r="B44" s="32"/>
      <c r="C44" s="9">
        <f t="shared" si="8"/>
        <v>0</v>
      </c>
      <c r="D44" s="32">
        <v>55000</v>
      </c>
      <c r="E44" s="9">
        <f t="shared" si="9"/>
        <v>3.6120913504336778E-2</v>
      </c>
      <c r="F44" s="32">
        <f>D44*1.02</f>
        <v>56100</v>
      </c>
      <c r="G44" s="9">
        <f t="shared" si="10"/>
        <v>3.0596460042905765E-2</v>
      </c>
      <c r="H44" s="32">
        <f>F44*1.02</f>
        <v>57222</v>
      </c>
      <c r="I44" s="9">
        <f t="shared" si="11"/>
        <v>2.7095215517039389E-2</v>
      </c>
      <c r="J44" s="32">
        <f>H44*1.02</f>
        <v>58366.44</v>
      </c>
      <c r="K44" s="9">
        <f t="shared" si="12"/>
        <v>2.6977714785290603E-2</v>
      </c>
      <c r="L44" s="32">
        <f>J44*1.02</f>
        <v>59533.768800000005</v>
      </c>
      <c r="M44" s="9">
        <f t="shared" si="13"/>
        <v>2.6729605226617645E-2</v>
      </c>
      <c r="N44" s="8" t="s">
        <v>161</v>
      </c>
    </row>
    <row r="45" spans="1:14" x14ac:dyDescent="0.35">
      <c r="A45" s="5" t="s">
        <v>39</v>
      </c>
      <c r="B45" s="32"/>
      <c r="C45" s="9">
        <f t="shared" si="8"/>
        <v>0</v>
      </c>
      <c r="D45" s="32"/>
      <c r="E45" s="9">
        <f t="shared" si="9"/>
        <v>0</v>
      </c>
      <c r="F45" s="32"/>
      <c r="G45" s="9">
        <f t="shared" si="10"/>
        <v>0</v>
      </c>
      <c r="H45" s="32"/>
      <c r="I45" s="9">
        <f t="shared" si="11"/>
        <v>0</v>
      </c>
      <c r="J45" s="32"/>
      <c r="K45" s="9">
        <f t="shared" si="12"/>
        <v>0</v>
      </c>
      <c r="L45" s="32"/>
      <c r="M45" s="9">
        <f t="shared" si="13"/>
        <v>0</v>
      </c>
      <c r="N45" s="8"/>
    </row>
    <row r="46" spans="1:14" x14ac:dyDescent="0.35">
      <c r="A46" s="5" t="s">
        <v>40</v>
      </c>
      <c r="B46" s="32"/>
      <c r="C46" s="9">
        <f t="shared" si="8"/>
        <v>0</v>
      </c>
      <c r="D46" s="32"/>
      <c r="E46" s="9">
        <f t="shared" si="9"/>
        <v>0</v>
      </c>
      <c r="F46" s="32">
        <f>D46*1.02</f>
        <v>0</v>
      </c>
      <c r="G46" s="9">
        <f t="shared" si="10"/>
        <v>0</v>
      </c>
      <c r="H46" s="32">
        <v>50000</v>
      </c>
      <c r="I46" s="9">
        <f t="shared" si="11"/>
        <v>2.3675522978084819E-2</v>
      </c>
      <c r="J46" s="32">
        <f>H46*1.02</f>
        <v>51000</v>
      </c>
      <c r="K46" s="9">
        <f t="shared" si="12"/>
        <v>2.3572852037057952E-2</v>
      </c>
      <c r="L46" s="32">
        <f>J46*1.02</f>
        <v>52020</v>
      </c>
      <c r="M46" s="9">
        <f t="shared" si="13"/>
        <v>2.3356056435127785E-2</v>
      </c>
      <c r="N46" s="8" t="s">
        <v>210</v>
      </c>
    </row>
    <row r="47" spans="1:14" x14ac:dyDescent="0.35">
      <c r="A47" s="5" t="s">
        <v>41</v>
      </c>
      <c r="B47" s="32"/>
      <c r="C47" s="9">
        <f t="shared" si="8"/>
        <v>0</v>
      </c>
      <c r="D47" s="32">
        <v>20000</v>
      </c>
      <c r="E47" s="9">
        <f t="shared" si="9"/>
        <v>1.3134877637940646E-2</v>
      </c>
      <c r="F47" s="32">
        <f>D47*1.02</f>
        <v>20400</v>
      </c>
      <c r="G47" s="9">
        <f t="shared" si="10"/>
        <v>1.1125985470147551E-2</v>
      </c>
      <c r="H47" s="32">
        <f>F47*1.02</f>
        <v>20808</v>
      </c>
      <c r="I47" s="9">
        <f t="shared" si="11"/>
        <v>9.8528056425597772E-3</v>
      </c>
      <c r="J47" s="32">
        <f>H47*1.02</f>
        <v>21224.16</v>
      </c>
      <c r="K47" s="9">
        <f t="shared" si="12"/>
        <v>9.8100781037420374E-3</v>
      </c>
      <c r="L47" s="32">
        <f>J47*1.02</f>
        <v>21648.643199999999</v>
      </c>
      <c r="M47" s="9">
        <f t="shared" si="13"/>
        <v>9.719856446042778E-3</v>
      </c>
      <c r="N47" s="8" t="s">
        <v>162</v>
      </c>
    </row>
    <row r="48" spans="1:14" x14ac:dyDescent="0.35">
      <c r="A48" s="5" t="s">
        <v>42</v>
      </c>
      <c r="B48" s="32"/>
      <c r="C48" s="9">
        <f t="shared" si="8"/>
        <v>0</v>
      </c>
      <c r="D48" s="32"/>
      <c r="E48" s="9">
        <f t="shared" si="9"/>
        <v>0</v>
      </c>
      <c r="F48" s="32"/>
      <c r="G48" s="9">
        <f t="shared" si="10"/>
        <v>0</v>
      </c>
      <c r="H48" s="32"/>
      <c r="I48" s="9">
        <f t="shared" si="11"/>
        <v>0</v>
      </c>
      <c r="J48" s="32"/>
      <c r="K48" s="9">
        <f t="shared" si="12"/>
        <v>0</v>
      </c>
      <c r="L48" s="32"/>
      <c r="M48" s="9">
        <f t="shared" si="13"/>
        <v>0</v>
      </c>
      <c r="N48" s="8" t="s">
        <v>163</v>
      </c>
    </row>
    <row r="49" spans="1:14" x14ac:dyDescent="0.35">
      <c r="A49" s="5" t="s">
        <v>43</v>
      </c>
      <c r="B49" s="32"/>
      <c r="C49" s="9">
        <f t="shared" si="8"/>
        <v>0</v>
      </c>
      <c r="D49" s="32">
        <f>(D36+D37+D38+D40+D41+D42+D43+D44+D45+D46+D47+D48+1121000)*20.78%</f>
        <v>314089.7</v>
      </c>
      <c r="E49" s="9">
        <f t="shared" si="9"/>
        <v>0.20627648884187433</v>
      </c>
      <c r="F49" s="32">
        <f>(F36+F37+F38+F40+F41+F42+F43+F44+F45+F46+F47+F48+1121000)*20.78%</f>
        <v>315712.61800000002</v>
      </c>
      <c r="G49" s="9">
        <f t="shared" si="10"/>
        <v>0.17218696081422766</v>
      </c>
      <c r="H49" s="32">
        <f>(H36+H37+H38+H40+H41+H42+H43+H44+H45+H46+H47+H48+1121000)*20.78%</f>
        <v>340018.19436000002</v>
      </c>
      <c r="I49" s="9">
        <f t="shared" si="11"/>
        <v>0.16100217147074181</v>
      </c>
      <c r="J49" s="32">
        <f>(J36+J37+J38+J40+J41+J42+J43+J44+J45+J46+J47+J48+1121000)*20.78%</f>
        <v>347354.68224719999</v>
      </c>
      <c r="K49" s="9">
        <f t="shared" si="12"/>
        <v>0.1605517750782848</v>
      </c>
      <c r="L49" s="32">
        <f>(L36+L37+L38+L40+L41+L42+L43+L44+L45+L46+L47+L48+1121000)*20.78%</f>
        <v>349642.89989214408</v>
      </c>
      <c r="M49" s="9">
        <f t="shared" si="13"/>
        <v>0.15698345447948195</v>
      </c>
      <c r="N49" s="8" t="s">
        <v>164</v>
      </c>
    </row>
    <row r="50" spans="1:14" x14ac:dyDescent="0.35">
      <c r="A50" s="5" t="s">
        <v>44</v>
      </c>
      <c r="B50" s="32"/>
      <c r="C50" s="9">
        <f t="shared" si="8"/>
        <v>0</v>
      </c>
      <c r="D50" s="32">
        <f>4000*0.7*D7</f>
        <v>37800</v>
      </c>
      <c r="E50" s="9">
        <f t="shared" si="9"/>
        <v>2.4824918735707822E-2</v>
      </c>
      <c r="F50" s="32">
        <f>4000*0.7*F7</f>
        <v>46900</v>
      </c>
      <c r="G50" s="9">
        <f t="shared" si="10"/>
        <v>2.5578858752447066E-2</v>
      </c>
      <c r="H50" s="32">
        <f>4000*0.7*H7</f>
        <v>56000</v>
      </c>
      <c r="I50" s="9">
        <f t="shared" si="11"/>
        <v>2.6516585735454994E-2</v>
      </c>
      <c r="J50" s="32">
        <f>4000*0.7*J7</f>
        <v>56000</v>
      </c>
      <c r="K50" s="9">
        <f t="shared" si="12"/>
        <v>2.588391596225971E-2</v>
      </c>
      <c r="L50" s="32">
        <f>4000*0.7*L7</f>
        <v>56000</v>
      </c>
      <c r="M50" s="9">
        <f t="shared" si="13"/>
        <v>2.5143005774070665E-2</v>
      </c>
      <c r="N50" s="8" t="s">
        <v>165</v>
      </c>
    </row>
    <row r="51" spans="1:14" x14ac:dyDescent="0.35">
      <c r="A51" s="5" t="s">
        <v>45</v>
      </c>
      <c r="B51" s="32"/>
      <c r="C51" s="9">
        <f t="shared" si="8"/>
        <v>0</v>
      </c>
      <c r="D51" s="32">
        <f>(D38+D39+D40+D42+D43+D44+D45+D46+D47+D48+D49+D50+D54+D36+D41)*2.77%</f>
        <v>27101.394689999997</v>
      </c>
      <c r="E51" s="9">
        <f t="shared" si="9"/>
        <v>1.7798675153534217E-2</v>
      </c>
      <c r="F51" s="32">
        <f>(F38+F39+F40+F42+F43+F44+F45+F46+F47+F48+F49+F50+F54+F36+F41)*2.77%</f>
        <v>31539.371661457139</v>
      </c>
      <c r="G51" s="9">
        <f t="shared" si="10"/>
        <v>1.7201303472693899E-2</v>
      </c>
      <c r="H51" s="32">
        <f>(H38+H39+H40+H42+H43+H44+H45+H46+H47+H48+H49+H50+H54+H36+H41)*2.77%</f>
        <v>36684.860483771998</v>
      </c>
      <c r="I51" s="9">
        <f t="shared" si="11"/>
        <v>1.7370665146627592E-2</v>
      </c>
      <c r="J51" s="32">
        <f>(J38+J39+J40+J42+J43+J44+J45+J46+J47+J48+J49+J50+J54+J36+J41)*2.77%</f>
        <v>38033.927560514101</v>
      </c>
      <c r="K51" s="9">
        <f t="shared" si="12"/>
        <v>1.7579767583768224E-2</v>
      </c>
      <c r="L51" s="32">
        <f>(L38+L39+L40+L42+L43+L44+L45+L46+L47+L48+L49+L50+L54+L36+L41)*2.77%</f>
        <v>38383.579737701533</v>
      </c>
      <c r="M51" s="9">
        <f t="shared" si="13"/>
        <v>1.7233545838830917E-2</v>
      </c>
      <c r="N51" s="8" t="s">
        <v>166</v>
      </c>
    </row>
    <row r="52" spans="1:14" x14ac:dyDescent="0.35">
      <c r="A52" s="5" t="s">
        <v>46</v>
      </c>
      <c r="B52" s="32"/>
      <c r="C52" s="9">
        <f t="shared" si="8"/>
        <v>0</v>
      </c>
      <c r="D52" s="32"/>
      <c r="E52" s="9">
        <f t="shared" si="9"/>
        <v>0</v>
      </c>
      <c r="F52" s="32"/>
      <c r="G52" s="9">
        <f t="shared" si="10"/>
        <v>0</v>
      </c>
      <c r="H52" s="32"/>
      <c r="I52" s="9">
        <f t="shared" si="11"/>
        <v>0</v>
      </c>
      <c r="J52" s="32"/>
      <c r="K52" s="9">
        <f t="shared" si="12"/>
        <v>0</v>
      </c>
      <c r="L52" s="32"/>
      <c r="M52" s="9">
        <f t="shared" si="13"/>
        <v>0</v>
      </c>
      <c r="N52" s="8"/>
    </row>
    <row r="53" spans="1:14" x14ac:dyDescent="0.35">
      <c r="A53" s="8" t="s">
        <v>211</v>
      </c>
      <c r="B53" s="32"/>
      <c r="C53" s="9">
        <f t="shared" si="8"/>
        <v>0</v>
      </c>
      <c r="D53" s="32">
        <f>150000*0.25</f>
        <v>37500</v>
      </c>
      <c r="E53" s="9">
        <f t="shared" si="9"/>
        <v>2.4627895571138713E-2</v>
      </c>
      <c r="F53" s="32">
        <f>150000*0.35</f>
        <v>52500</v>
      </c>
      <c r="G53" s="9">
        <f t="shared" si="10"/>
        <v>2.863305084229149E-2</v>
      </c>
      <c r="H53" s="32">
        <f>150000*0.5</f>
        <v>75000</v>
      </c>
      <c r="I53" s="9">
        <f t="shared" si="11"/>
        <v>3.5513284467127225E-2</v>
      </c>
      <c r="J53" s="32">
        <v>75000</v>
      </c>
      <c r="K53" s="9">
        <f t="shared" si="12"/>
        <v>3.4665958878026398E-2</v>
      </c>
      <c r="L53" s="32">
        <f>J53*1.02</f>
        <v>76500</v>
      </c>
      <c r="M53" s="9">
        <f t="shared" si="13"/>
        <v>3.434714181636439E-2</v>
      </c>
      <c r="N53" s="8" t="s">
        <v>215</v>
      </c>
    </row>
    <row r="54" spans="1:14" x14ac:dyDescent="0.35">
      <c r="A54" s="8" t="s">
        <v>170</v>
      </c>
      <c r="B54" s="32"/>
      <c r="C54" s="9">
        <f t="shared" si="8"/>
        <v>0</v>
      </c>
      <c r="D54" s="32"/>
      <c r="E54" s="9">
        <f t="shared" si="9"/>
        <v>0</v>
      </c>
      <c r="F54" s="32">
        <v>90000</v>
      </c>
      <c r="G54" s="9">
        <f t="shared" si="10"/>
        <v>4.9085230015356841E-2</v>
      </c>
      <c r="H54" s="32">
        <f>F54*1.02</f>
        <v>91800</v>
      </c>
      <c r="I54" s="9">
        <f t="shared" si="11"/>
        <v>4.3468260187763723E-2</v>
      </c>
      <c r="J54" s="32">
        <f>H54*1.02</f>
        <v>93636</v>
      </c>
      <c r="K54" s="9">
        <f t="shared" si="12"/>
        <v>4.3279756340038396E-2</v>
      </c>
      <c r="L54" s="32">
        <f>J54*1.02</f>
        <v>95508.72</v>
      </c>
      <c r="M54" s="9">
        <f t="shared" si="13"/>
        <v>4.2881719614894613E-2</v>
      </c>
      <c r="N54" s="8" t="s">
        <v>167</v>
      </c>
    </row>
    <row r="55" spans="1:14" x14ac:dyDescent="0.35">
      <c r="A55" s="10" t="s">
        <v>47</v>
      </c>
      <c r="B55" s="33">
        <f>SUM(B36:B54)</f>
        <v>0</v>
      </c>
      <c r="C55" s="11">
        <f t="shared" si="8"/>
        <v>0</v>
      </c>
      <c r="D55" s="33">
        <f>SUM(D36:D54)</f>
        <v>1101991.0946899999</v>
      </c>
      <c r="E55" s="12">
        <f t="shared" si="9"/>
        <v>0.72372590934267067</v>
      </c>
      <c r="F55" s="33">
        <f>SUM(F36:F54)</f>
        <v>1282824.8468043143</v>
      </c>
      <c r="G55" s="12">
        <f t="shared" si="10"/>
        <v>0.69964169638671858</v>
      </c>
      <c r="H55" s="33">
        <f>SUM(H36:H54)</f>
        <v>1497431.6548437718</v>
      </c>
      <c r="I55" s="12">
        <f t="shared" si="11"/>
        <v>0.70904955104730583</v>
      </c>
      <c r="J55" s="33">
        <f>SUM(J36:J54)</f>
        <v>1548711.1764743805</v>
      </c>
      <c r="K55" s="12">
        <f t="shared" si="12"/>
        <v>0.71583410610134346</v>
      </c>
      <c r="L55" s="33">
        <f>SUM(L36:L54)</f>
        <v>1564435.8763727027</v>
      </c>
      <c r="M55" s="12">
        <f t="shared" si="13"/>
        <v>0.70240393344289576</v>
      </c>
      <c r="N55" s="8"/>
    </row>
    <row r="56" spans="1:14" x14ac:dyDescent="0.35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 x14ac:dyDescent="0.35">
      <c r="A57" s="54" t="s">
        <v>48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 ht="29" x14ac:dyDescent="0.35">
      <c r="A58" s="52" t="s">
        <v>49</v>
      </c>
      <c r="B58" s="53"/>
      <c r="C58" s="61">
        <f t="shared" ref="C58:C71" si="15">B58/B$115</f>
        <v>0</v>
      </c>
      <c r="D58" s="53">
        <f>75*D5</f>
        <v>8250</v>
      </c>
      <c r="E58" s="61">
        <f t="shared" ref="E58:E71" si="16">D58/D$115</f>
        <v>5.4181370256505164E-3</v>
      </c>
      <c r="F58" s="53">
        <f>75*F5</f>
        <v>9862.5</v>
      </c>
      <c r="G58" s="61">
        <f t="shared" ref="G58:G71" si="17">F58/F$115</f>
        <v>5.3789231225161872E-3</v>
      </c>
      <c r="H58" s="53">
        <f>75*H5</f>
        <v>11287.5</v>
      </c>
      <c r="I58" s="61">
        <f t="shared" ref="I58:I71" si="18">H58/H$115</f>
        <v>5.3447493123026475E-3</v>
      </c>
      <c r="J58" s="53">
        <f>75*J5</f>
        <v>11287.5</v>
      </c>
      <c r="K58" s="61">
        <f t="shared" ref="K58:K71" si="19">J58/J$115</f>
        <v>5.2172268111429733E-3</v>
      </c>
      <c r="L58" s="53">
        <f>75*L5</f>
        <v>11287.5</v>
      </c>
      <c r="M58" s="61">
        <f t="shared" ref="M58:M71" si="20">L58/L$115</f>
        <v>5.0678871013361184E-3</v>
      </c>
      <c r="N58" s="77" t="s">
        <v>171</v>
      </c>
    </row>
    <row r="59" spans="1:14" x14ac:dyDescent="0.35">
      <c r="A59" s="5" t="s">
        <v>50</v>
      </c>
      <c r="B59" s="32">
        <v>5000</v>
      </c>
      <c r="C59" s="9">
        <f t="shared" si="15"/>
        <v>1.775568181818182E-2</v>
      </c>
      <c r="D59" s="32">
        <v>5000</v>
      </c>
      <c r="E59" s="9">
        <f t="shared" si="16"/>
        <v>3.2837194094851615E-3</v>
      </c>
      <c r="F59" s="32">
        <v>5000</v>
      </c>
      <c r="G59" s="9">
        <f t="shared" si="17"/>
        <v>2.7269572230753801E-3</v>
      </c>
      <c r="H59" s="32">
        <v>5000</v>
      </c>
      <c r="I59" s="9">
        <f t="shared" si="18"/>
        <v>2.3675522978084816E-3</v>
      </c>
      <c r="J59" s="32">
        <f>H59*1.02</f>
        <v>5100</v>
      </c>
      <c r="K59" s="9">
        <f t="shared" si="19"/>
        <v>2.357285203705795E-3</v>
      </c>
      <c r="L59" s="32">
        <f>J59*1.02</f>
        <v>5202</v>
      </c>
      <c r="M59" s="9">
        <f t="shared" si="20"/>
        <v>2.3356056435127784E-3</v>
      </c>
      <c r="N59" s="8" t="s">
        <v>172</v>
      </c>
    </row>
    <row r="60" spans="1:14" x14ac:dyDescent="0.35">
      <c r="A60" s="5" t="s">
        <v>51</v>
      </c>
      <c r="B60" s="32">
        <f>250*D5</f>
        <v>27500</v>
      </c>
      <c r="C60" s="9">
        <f t="shared" si="15"/>
        <v>9.765625E-2</v>
      </c>
      <c r="D60" s="32"/>
      <c r="E60" s="9">
        <f t="shared" si="16"/>
        <v>0</v>
      </c>
      <c r="F60" s="32">
        <f>250*(F5-D5)</f>
        <v>5375</v>
      </c>
      <c r="G60" s="9">
        <f t="shared" si="17"/>
        <v>2.9314790148060334E-3</v>
      </c>
      <c r="H60" s="32">
        <f>250*(H5-F5)</f>
        <v>4750</v>
      </c>
      <c r="I60" s="9">
        <f t="shared" si="18"/>
        <v>2.2491746829180577E-3</v>
      </c>
      <c r="J60" s="32">
        <f>250*(J5-H5)</f>
        <v>0</v>
      </c>
      <c r="K60" s="9">
        <f t="shared" si="19"/>
        <v>0</v>
      </c>
      <c r="L60" s="32">
        <f>250*(L5-J5)</f>
        <v>0</v>
      </c>
      <c r="M60" s="9">
        <f t="shared" si="20"/>
        <v>0</v>
      </c>
      <c r="N60" s="8" t="s">
        <v>173</v>
      </c>
    </row>
    <row r="61" spans="1:14" x14ac:dyDescent="0.35">
      <c r="A61" s="5" t="s">
        <v>52</v>
      </c>
      <c r="B61" s="32">
        <f>15000</f>
        <v>15000</v>
      </c>
      <c r="C61" s="9">
        <f t="shared" si="15"/>
        <v>5.3267045454545456E-2</v>
      </c>
      <c r="D61" s="32"/>
      <c r="E61" s="9">
        <f t="shared" si="16"/>
        <v>0</v>
      </c>
      <c r="F61" s="32">
        <f>B61*1.02</f>
        <v>15300</v>
      </c>
      <c r="G61" s="9">
        <f t="shared" si="17"/>
        <v>8.3444891026106631E-3</v>
      </c>
      <c r="H61" s="32">
        <f>F61*1.02</f>
        <v>15606</v>
      </c>
      <c r="I61" s="9">
        <f t="shared" si="18"/>
        <v>7.3896042319198333E-3</v>
      </c>
      <c r="J61" s="32">
        <f>H61*1.02</f>
        <v>15918.12</v>
      </c>
      <c r="K61" s="9">
        <f t="shared" si="19"/>
        <v>7.3575585778065285E-3</v>
      </c>
      <c r="L61" s="32">
        <f>J61*1.02</f>
        <v>16236.482400000001</v>
      </c>
      <c r="M61" s="9">
        <f t="shared" si="20"/>
        <v>7.2898923345320844E-3</v>
      </c>
      <c r="N61" s="8" t="s">
        <v>207</v>
      </c>
    </row>
    <row r="62" spans="1:14" x14ac:dyDescent="0.35">
      <c r="A62" s="5" t="s">
        <v>53</v>
      </c>
      <c r="B62" s="32"/>
      <c r="C62" s="9">
        <f t="shared" si="15"/>
        <v>0</v>
      </c>
      <c r="D62" s="32"/>
      <c r="E62" s="9">
        <f t="shared" si="16"/>
        <v>0</v>
      </c>
      <c r="F62" s="32"/>
      <c r="G62" s="9">
        <f t="shared" si="17"/>
        <v>0</v>
      </c>
      <c r="H62" s="32"/>
      <c r="I62" s="9">
        <f t="shared" si="18"/>
        <v>0</v>
      </c>
      <c r="J62" s="32"/>
      <c r="K62" s="9">
        <f t="shared" si="19"/>
        <v>0</v>
      </c>
      <c r="L62" s="32"/>
      <c r="M62" s="9">
        <f t="shared" si="20"/>
        <v>0</v>
      </c>
      <c r="N62" s="8" t="s">
        <v>174</v>
      </c>
    </row>
    <row r="63" spans="1:14" x14ac:dyDescent="0.35">
      <c r="A63" s="5" t="s">
        <v>54</v>
      </c>
      <c r="B63" s="32">
        <f>80000/2</f>
        <v>40000</v>
      </c>
      <c r="C63" s="9">
        <f t="shared" si="15"/>
        <v>0.14204545454545456</v>
      </c>
      <c r="D63" s="32">
        <v>5000</v>
      </c>
      <c r="E63" s="9">
        <f t="shared" si="16"/>
        <v>3.2837194094851615E-3</v>
      </c>
      <c r="F63" s="32">
        <v>10000</v>
      </c>
      <c r="G63" s="9">
        <f t="shared" si="17"/>
        <v>5.4539144461507602E-3</v>
      </c>
      <c r="H63" s="32">
        <f>3000-250</f>
        <v>2750</v>
      </c>
      <c r="I63" s="9">
        <f t="shared" si="18"/>
        <v>1.302153763794665E-3</v>
      </c>
      <c r="J63" s="32">
        <f>3000-250</f>
        <v>2750</v>
      </c>
      <c r="K63" s="9">
        <f t="shared" si="19"/>
        <v>1.2710851588609679E-3</v>
      </c>
      <c r="L63" s="32">
        <f>3000*5-250*5</f>
        <v>13750</v>
      </c>
      <c r="M63" s="9">
        <f t="shared" si="20"/>
        <v>6.1735058820262794E-3</v>
      </c>
      <c r="N63" s="8" t="s">
        <v>175</v>
      </c>
    </row>
    <row r="64" spans="1:14" x14ac:dyDescent="0.35">
      <c r="A64" s="5" t="s">
        <v>55</v>
      </c>
      <c r="B64" s="32"/>
      <c r="C64" s="9">
        <f t="shared" si="15"/>
        <v>0</v>
      </c>
      <c r="D64" s="32">
        <v>500</v>
      </c>
      <c r="E64" s="9">
        <f t="shared" si="16"/>
        <v>3.2837194094851614E-4</v>
      </c>
      <c r="F64" s="32">
        <f t="shared" ref="F64:F65" si="21">D64*1.02</f>
        <v>510</v>
      </c>
      <c r="G64" s="9">
        <f t="shared" si="17"/>
        <v>2.7814963675368878E-4</v>
      </c>
      <c r="H64" s="32">
        <f>12*'[1]Enrollment &amp; Payroll Summary'!O8</f>
        <v>2208</v>
      </c>
      <c r="I64" s="9">
        <f t="shared" si="18"/>
        <v>1.0455110947122255E-3</v>
      </c>
      <c r="J64" s="32">
        <f>12*'[1]Enrollment &amp; Payroll Summary'!O9</f>
        <v>2508</v>
      </c>
      <c r="K64" s="9">
        <f t="shared" si="19"/>
        <v>1.1592296648812027E-3</v>
      </c>
      <c r="L64" s="32">
        <f>12*'[1]Enrollment &amp; Payroll Summary'!O10</f>
        <v>3852</v>
      </c>
      <c r="M64" s="9">
        <f t="shared" si="20"/>
        <v>1.7294796114592894E-3</v>
      </c>
      <c r="N64" s="8" t="s">
        <v>176</v>
      </c>
    </row>
    <row r="65" spans="1:14" x14ac:dyDescent="0.35">
      <c r="A65" s="5" t="s">
        <v>56</v>
      </c>
      <c r="B65" s="32"/>
      <c r="C65" s="9">
        <f t="shared" si="15"/>
        <v>0</v>
      </c>
      <c r="D65" s="32">
        <v>500</v>
      </c>
      <c r="E65" s="9">
        <f t="shared" si="16"/>
        <v>3.2837194094851614E-4</v>
      </c>
      <c r="F65" s="32">
        <f t="shared" si="21"/>
        <v>510</v>
      </c>
      <c r="G65" s="9">
        <f t="shared" si="17"/>
        <v>2.7814963675368878E-4</v>
      </c>
      <c r="H65" s="32">
        <f>146*'[1]Enrollment &amp; Payroll Summary'!O8</f>
        <v>26864</v>
      </c>
      <c r="I65" s="9">
        <f t="shared" si="18"/>
        <v>1.272038498566541E-2</v>
      </c>
      <c r="J65" s="32">
        <f>146*'[1]Enrollment &amp; Payroll Summary'!O9</f>
        <v>30514</v>
      </c>
      <c r="K65" s="9">
        <f t="shared" si="19"/>
        <v>1.4103960922721301E-2</v>
      </c>
      <c r="L65" s="32">
        <f>146*'[1]Enrollment &amp; Payroll Summary'!O10</f>
        <v>46866</v>
      </c>
      <c r="M65" s="9">
        <f t="shared" si="20"/>
        <v>2.1042001939421354E-2</v>
      </c>
      <c r="N65" s="8" t="s">
        <v>177</v>
      </c>
    </row>
    <row r="66" spans="1:14" x14ac:dyDescent="0.35">
      <c r="A66" s="5" t="s">
        <v>57</v>
      </c>
      <c r="B66" s="32">
        <v>15000</v>
      </c>
      <c r="C66" s="9">
        <f t="shared" si="15"/>
        <v>5.3267045454545456E-2</v>
      </c>
      <c r="D66" s="32">
        <v>15000</v>
      </c>
      <c r="E66" s="9">
        <f t="shared" si="16"/>
        <v>9.8511582284554842E-3</v>
      </c>
      <c r="F66" s="32">
        <v>2500</v>
      </c>
      <c r="G66" s="9">
        <f t="shared" si="17"/>
        <v>1.3634786115376901E-3</v>
      </c>
      <c r="H66" s="32">
        <v>3500</v>
      </c>
      <c r="I66" s="9">
        <f t="shared" si="18"/>
        <v>1.6572866084659371E-3</v>
      </c>
      <c r="J66" s="32">
        <v>3500</v>
      </c>
      <c r="K66" s="9">
        <f t="shared" si="19"/>
        <v>1.6177447476412319E-3</v>
      </c>
      <c r="L66" s="32">
        <f>3500*5</f>
        <v>17500</v>
      </c>
      <c r="M66" s="9">
        <f t="shared" si="20"/>
        <v>7.8571893043970827E-3</v>
      </c>
      <c r="N66" s="8" t="s">
        <v>178</v>
      </c>
    </row>
    <row r="67" spans="1:14" x14ac:dyDescent="0.35">
      <c r="A67" s="5" t="s">
        <v>58</v>
      </c>
      <c r="B67" s="32"/>
      <c r="C67" s="9">
        <f t="shared" si="15"/>
        <v>0</v>
      </c>
      <c r="D67" s="32">
        <v>2500</v>
      </c>
      <c r="E67" s="9">
        <f t="shared" si="16"/>
        <v>1.6418597047425808E-3</v>
      </c>
      <c r="F67" s="32">
        <f t="shared" ref="F67:F68" si="22">D67*1.02</f>
        <v>2550</v>
      </c>
      <c r="G67" s="9">
        <f t="shared" si="17"/>
        <v>1.3907481837684438E-3</v>
      </c>
      <c r="H67" s="32">
        <f>F67*1.02</f>
        <v>2601</v>
      </c>
      <c r="I67" s="9">
        <f t="shared" si="18"/>
        <v>1.2316007053199721E-3</v>
      </c>
      <c r="J67" s="32">
        <f>H67*1.02</f>
        <v>2653.02</v>
      </c>
      <c r="K67" s="9">
        <f t="shared" si="19"/>
        <v>1.2262597629677547E-3</v>
      </c>
      <c r="L67" s="32">
        <v>3000</v>
      </c>
      <c r="M67" s="9">
        <f t="shared" si="20"/>
        <v>1.3469467378966428E-3</v>
      </c>
      <c r="N67" s="8" t="s">
        <v>176</v>
      </c>
    </row>
    <row r="68" spans="1:14" x14ac:dyDescent="0.35">
      <c r="A68" s="5" t="s">
        <v>59</v>
      </c>
      <c r="B68" s="32"/>
      <c r="C68" s="9">
        <f t="shared" si="15"/>
        <v>0</v>
      </c>
      <c r="D68" s="32">
        <v>1500</v>
      </c>
      <c r="E68" s="9">
        <f t="shared" si="16"/>
        <v>9.8511582284554837E-4</v>
      </c>
      <c r="F68" s="32">
        <f t="shared" si="22"/>
        <v>1530</v>
      </c>
      <c r="G68" s="9">
        <f t="shared" si="17"/>
        <v>8.3444891026106629E-4</v>
      </c>
      <c r="H68" s="32">
        <v>500</v>
      </c>
      <c r="I68" s="9">
        <f t="shared" si="18"/>
        <v>2.3675522978084816E-4</v>
      </c>
      <c r="J68" s="32">
        <v>500</v>
      </c>
      <c r="K68" s="9">
        <f t="shared" si="19"/>
        <v>2.31106392520176E-4</v>
      </c>
      <c r="L68" s="32">
        <v>500</v>
      </c>
      <c r="M68" s="9">
        <f t="shared" si="20"/>
        <v>2.2449112298277379E-4</v>
      </c>
      <c r="N68" s="8" t="s">
        <v>176</v>
      </c>
    </row>
    <row r="69" spans="1:14" x14ac:dyDescent="0.35">
      <c r="A69" s="8"/>
      <c r="B69" s="32"/>
      <c r="C69" s="9">
        <f t="shared" si="15"/>
        <v>0</v>
      </c>
      <c r="D69" s="32"/>
      <c r="E69" s="9">
        <f t="shared" si="16"/>
        <v>0</v>
      </c>
      <c r="F69" s="32"/>
      <c r="G69" s="9">
        <f t="shared" si="17"/>
        <v>0</v>
      </c>
      <c r="H69" s="32"/>
      <c r="I69" s="9">
        <f t="shared" si="18"/>
        <v>0</v>
      </c>
      <c r="J69" s="32"/>
      <c r="K69" s="9">
        <f t="shared" si="19"/>
        <v>0</v>
      </c>
      <c r="L69" s="32"/>
      <c r="M69" s="9">
        <f t="shared" si="20"/>
        <v>0</v>
      </c>
      <c r="N69" s="8"/>
    </row>
    <row r="70" spans="1:14" x14ac:dyDescent="0.35">
      <c r="A70" s="8"/>
      <c r="B70" s="32"/>
      <c r="C70" s="9">
        <f t="shared" si="15"/>
        <v>0</v>
      </c>
      <c r="D70" s="32"/>
      <c r="E70" s="9">
        <f t="shared" si="16"/>
        <v>0</v>
      </c>
      <c r="F70" s="32"/>
      <c r="G70" s="9">
        <f t="shared" si="17"/>
        <v>0</v>
      </c>
      <c r="H70" s="32"/>
      <c r="I70" s="9">
        <f t="shared" si="18"/>
        <v>0</v>
      </c>
      <c r="J70" s="32"/>
      <c r="K70" s="9">
        <f t="shared" si="19"/>
        <v>0</v>
      </c>
      <c r="L70" s="32">
        <f>J70*1.02</f>
        <v>0</v>
      </c>
      <c r="M70" s="9">
        <f t="shared" si="20"/>
        <v>0</v>
      </c>
      <c r="N70" s="8"/>
    </row>
    <row r="71" spans="1:14" x14ac:dyDescent="0.35">
      <c r="A71" s="10" t="s">
        <v>60</v>
      </c>
      <c r="B71" s="33">
        <f>SUM(B58:B70)</f>
        <v>102500</v>
      </c>
      <c r="C71" s="11">
        <f t="shared" si="15"/>
        <v>0.36399147727272729</v>
      </c>
      <c r="D71" s="33">
        <f>SUM(D58:D70)</f>
        <v>38250</v>
      </c>
      <c r="E71" s="12">
        <f t="shared" si="16"/>
        <v>2.5120453482561485E-2</v>
      </c>
      <c r="F71" s="33">
        <f>SUM(F58:F70)</f>
        <v>53137.5</v>
      </c>
      <c r="G71" s="12">
        <f t="shared" si="17"/>
        <v>2.8980737888233601E-2</v>
      </c>
      <c r="H71" s="33">
        <f>SUM(H58:H70)</f>
        <v>75066.5</v>
      </c>
      <c r="I71" s="12">
        <f t="shared" si="18"/>
        <v>3.554477291268808E-2</v>
      </c>
      <c r="J71" s="33">
        <f>SUM(J58:J70)</f>
        <v>74730.64</v>
      </c>
      <c r="K71" s="12">
        <f t="shared" si="19"/>
        <v>3.4541457242247928E-2</v>
      </c>
      <c r="L71" s="33">
        <f>SUM(L58:L70)</f>
        <v>118193.98240000001</v>
      </c>
      <c r="M71" s="12">
        <f t="shared" si="20"/>
        <v>5.3066999677564404E-2</v>
      </c>
      <c r="N71" s="8"/>
    </row>
    <row r="72" spans="1:14" x14ac:dyDescent="0.35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 x14ac:dyDescent="0.35">
      <c r="A73" s="54" t="s">
        <v>61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 x14ac:dyDescent="0.35">
      <c r="A74" s="52" t="s">
        <v>62</v>
      </c>
      <c r="B74" s="53"/>
      <c r="C74" s="61">
        <f t="shared" ref="C74:C103" si="23">B74/B$115</f>
        <v>0</v>
      </c>
      <c r="D74" s="53"/>
      <c r="E74" s="61">
        <f t="shared" ref="E74:E103" si="24">D74/D$115</f>
        <v>0</v>
      </c>
      <c r="F74" s="53"/>
      <c r="G74" s="61">
        <f t="shared" ref="G74:G103" si="25">F74/F$115</f>
        <v>0</v>
      </c>
      <c r="H74" s="53"/>
      <c r="I74" s="61">
        <f t="shared" ref="I74:I103" si="26">H74/H$115</f>
        <v>0</v>
      </c>
      <c r="J74" s="53"/>
      <c r="K74" s="61">
        <f t="shared" ref="K74:K103" si="27">J74/J$115</f>
        <v>0</v>
      </c>
      <c r="L74" s="53"/>
      <c r="M74" s="61">
        <f t="shared" ref="M74:M103" si="28">L74/L$115</f>
        <v>0</v>
      </c>
      <c r="N74" s="62" t="s">
        <v>179</v>
      </c>
    </row>
    <row r="75" spans="1:14" x14ac:dyDescent="0.35">
      <c r="A75" s="5" t="s">
        <v>63</v>
      </c>
      <c r="B75" s="32"/>
      <c r="C75" s="9">
        <f t="shared" si="23"/>
        <v>0</v>
      </c>
      <c r="D75" s="32"/>
      <c r="E75" s="9">
        <f t="shared" si="24"/>
        <v>0</v>
      </c>
      <c r="F75" s="32"/>
      <c r="G75" s="9">
        <f t="shared" si="25"/>
        <v>0</v>
      </c>
      <c r="H75" s="32"/>
      <c r="I75" s="9">
        <f t="shared" si="26"/>
        <v>0</v>
      </c>
      <c r="J75" s="32"/>
      <c r="K75" s="9">
        <f t="shared" si="27"/>
        <v>0</v>
      </c>
      <c r="L75" s="32"/>
      <c r="M75" s="9">
        <f t="shared" si="28"/>
        <v>0</v>
      </c>
      <c r="N75" s="8" t="s">
        <v>180</v>
      </c>
    </row>
    <row r="76" spans="1:14" x14ac:dyDescent="0.35">
      <c r="A76" s="5" t="s">
        <v>64</v>
      </c>
      <c r="B76" s="32">
        <v>2500</v>
      </c>
      <c r="C76" s="9">
        <f t="shared" si="23"/>
        <v>8.8778409090909099E-3</v>
      </c>
      <c r="D76" s="32">
        <v>500</v>
      </c>
      <c r="E76" s="9">
        <f t="shared" si="24"/>
        <v>3.2837194094851614E-4</v>
      </c>
      <c r="F76" s="32">
        <f>D76*1.02</f>
        <v>510</v>
      </c>
      <c r="G76" s="9">
        <f t="shared" si="25"/>
        <v>2.7814963675368878E-4</v>
      </c>
      <c r="H76" s="32">
        <f>F76*1.02</f>
        <v>520.20000000000005</v>
      </c>
      <c r="I76" s="9">
        <f t="shared" si="26"/>
        <v>2.4632014106399448E-4</v>
      </c>
      <c r="J76" s="32">
        <f>H76*1.02</f>
        <v>530.60400000000004</v>
      </c>
      <c r="K76" s="9">
        <f t="shared" si="27"/>
        <v>2.4525195259355096E-4</v>
      </c>
      <c r="L76" s="32">
        <f>J76*1.02</f>
        <v>541.21608000000003</v>
      </c>
      <c r="M76" s="9">
        <f t="shared" si="28"/>
        <v>2.4299641115106948E-4</v>
      </c>
      <c r="N76" s="8" t="s">
        <v>181</v>
      </c>
    </row>
    <row r="77" spans="1:14" x14ac:dyDescent="0.35">
      <c r="A77" s="5" t="s">
        <v>65</v>
      </c>
      <c r="B77" s="32">
        <v>2500</v>
      </c>
      <c r="C77" s="9">
        <f t="shared" si="23"/>
        <v>8.8778409090909099E-3</v>
      </c>
      <c r="D77" s="32">
        <v>500</v>
      </c>
      <c r="E77" s="9">
        <f t="shared" si="24"/>
        <v>3.2837194094851614E-4</v>
      </c>
      <c r="F77" s="32">
        <v>500</v>
      </c>
      <c r="G77" s="9">
        <f t="shared" si="25"/>
        <v>2.7269572230753799E-4</v>
      </c>
      <c r="H77" s="32">
        <v>2500</v>
      </c>
      <c r="I77" s="9">
        <f t="shared" si="26"/>
        <v>1.1837761489042408E-3</v>
      </c>
      <c r="J77" s="32">
        <v>500</v>
      </c>
      <c r="K77" s="9">
        <f t="shared" si="27"/>
        <v>2.31106392520176E-4</v>
      </c>
      <c r="L77" s="32">
        <v>500</v>
      </c>
      <c r="M77" s="9">
        <f t="shared" si="28"/>
        <v>2.2449112298277379E-4</v>
      </c>
      <c r="N77" s="8" t="s">
        <v>182</v>
      </c>
    </row>
    <row r="78" spans="1:14" x14ac:dyDescent="0.35">
      <c r="A78" s="5" t="s">
        <v>66</v>
      </c>
      <c r="B78" s="32">
        <f>600*D7</f>
        <v>8100</v>
      </c>
      <c r="C78" s="9">
        <f t="shared" si="23"/>
        <v>2.8764204545454544E-2</v>
      </c>
      <c r="D78" s="32"/>
      <c r="E78" s="9">
        <f t="shared" si="24"/>
        <v>0</v>
      </c>
      <c r="F78" s="32">
        <v>6000</v>
      </c>
      <c r="G78" s="9">
        <f t="shared" si="25"/>
        <v>3.2723486676904559E-3</v>
      </c>
      <c r="H78" s="32">
        <f>600*4+600</f>
        <v>3000</v>
      </c>
      <c r="I78" s="9">
        <f t="shared" si="26"/>
        <v>1.420531378685089E-3</v>
      </c>
      <c r="J78" s="32">
        <f>600*1+600</f>
        <v>1200</v>
      </c>
      <c r="K78" s="9">
        <f t="shared" si="27"/>
        <v>5.5465534204842239E-4</v>
      </c>
      <c r="L78" s="32">
        <f>600*1+600</f>
        <v>1200</v>
      </c>
      <c r="M78" s="9">
        <f t="shared" si="28"/>
        <v>5.3877869515865705E-4</v>
      </c>
      <c r="N78" s="8" t="s">
        <v>183</v>
      </c>
    </row>
    <row r="79" spans="1:14" x14ac:dyDescent="0.35">
      <c r="A79" s="5" t="s">
        <v>67</v>
      </c>
      <c r="B79" s="32"/>
      <c r="C79" s="9">
        <f t="shared" si="23"/>
        <v>0</v>
      </c>
      <c r="D79" s="32"/>
      <c r="E79" s="9">
        <f t="shared" si="24"/>
        <v>0</v>
      </c>
      <c r="F79" s="32">
        <f>D79*1.02</f>
        <v>0</v>
      </c>
      <c r="G79" s="9">
        <f t="shared" si="25"/>
        <v>0</v>
      </c>
      <c r="H79" s="32"/>
      <c r="I79" s="9">
        <f t="shared" si="26"/>
        <v>0</v>
      </c>
      <c r="J79" s="32"/>
      <c r="K79" s="9">
        <f t="shared" si="27"/>
        <v>0</v>
      </c>
      <c r="L79" s="32"/>
      <c r="M79" s="9">
        <f t="shared" si="28"/>
        <v>0</v>
      </c>
      <c r="N79" s="8"/>
    </row>
    <row r="80" spans="1:14" x14ac:dyDescent="0.35">
      <c r="A80" s="5" t="s">
        <v>68</v>
      </c>
      <c r="B80" s="32"/>
      <c r="C80" s="9">
        <f t="shared" si="23"/>
        <v>0</v>
      </c>
      <c r="D80" s="32">
        <v>500</v>
      </c>
      <c r="E80" s="9">
        <f t="shared" si="24"/>
        <v>3.2837194094851614E-4</v>
      </c>
      <c r="F80" s="32">
        <f>D80*1.02</f>
        <v>510</v>
      </c>
      <c r="G80" s="9">
        <f t="shared" si="25"/>
        <v>2.7814963675368878E-4</v>
      </c>
      <c r="H80" s="32">
        <f t="shared" ref="H80:H84" si="29">F80*1.02</f>
        <v>520.20000000000005</v>
      </c>
      <c r="I80" s="9">
        <f t="shared" si="26"/>
        <v>2.4632014106399448E-4</v>
      </c>
      <c r="J80" s="32">
        <f t="shared" ref="J80:J84" si="30">H80*1.02</f>
        <v>530.60400000000004</v>
      </c>
      <c r="K80" s="9">
        <f t="shared" si="27"/>
        <v>2.4525195259355096E-4</v>
      </c>
      <c r="L80" s="32">
        <f t="shared" ref="L80:L84" si="31">J80*1.02</f>
        <v>541.21608000000003</v>
      </c>
      <c r="M80" s="9">
        <f t="shared" si="28"/>
        <v>2.4299641115106948E-4</v>
      </c>
      <c r="N80" s="8" t="s">
        <v>176</v>
      </c>
    </row>
    <row r="81" spans="1:14" x14ac:dyDescent="0.35">
      <c r="A81" s="5" t="s">
        <v>69</v>
      </c>
      <c r="B81" s="32"/>
      <c r="C81" s="9">
        <f t="shared" si="23"/>
        <v>0</v>
      </c>
      <c r="D81" s="32">
        <v>45000</v>
      </c>
      <c r="E81" s="9">
        <f t="shared" si="24"/>
        <v>2.9553474685366454E-2</v>
      </c>
      <c r="F81" s="32">
        <f>D81*1.02</f>
        <v>45900</v>
      </c>
      <c r="G81" s="9">
        <f t="shared" si="25"/>
        <v>2.5033467307831989E-2</v>
      </c>
      <c r="H81" s="32">
        <f t="shared" si="29"/>
        <v>46818</v>
      </c>
      <c r="I81" s="9">
        <f t="shared" si="26"/>
        <v>2.2168812695759498E-2</v>
      </c>
      <c r="J81" s="32">
        <f t="shared" si="30"/>
        <v>47754.36</v>
      </c>
      <c r="K81" s="9">
        <f t="shared" si="27"/>
        <v>2.2072675733419582E-2</v>
      </c>
      <c r="L81" s="32">
        <f t="shared" si="31"/>
        <v>48709.447200000002</v>
      </c>
      <c r="M81" s="9">
        <f t="shared" si="28"/>
        <v>2.1869677003596252E-2</v>
      </c>
      <c r="N81" s="8" t="s">
        <v>184</v>
      </c>
    </row>
    <row r="82" spans="1:14" x14ac:dyDescent="0.35">
      <c r="A82" s="5" t="s">
        <v>70</v>
      </c>
      <c r="B82" s="32"/>
      <c r="C82" s="9">
        <f t="shared" si="23"/>
        <v>0</v>
      </c>
      <c r="D82" s="32">
        <v>8000</v>
      </c>
      <c r="E82" s="9">
        <f t="shared" si="24"/>
        <v>5.2539510551762583E-3</v>
      </c>
      <c r="F82" s="32">
        <v>9000</v>
      </c>
      <c r="G82" s="9">
        <f t="shared" si="25"/>
        <v>4.9085230015356836E-3</v>
      </c>
      <c r="H82" s="32">
        <f t="shared" si="29"/>
        <v>9180</v>
      </c>
      <c r="I82" s="9">
        <f t="shared" si="26"/>
        <v>4.3468260187763726E-3</v>
      </c>
      <c r="J82" s="32">
        <f t="shared" si="30"/>
        <v>9363.6</v>
      </c>
      <c r="K82" s="9">
        <f t="shared" si="27"/>
        <v>4.3279756340038403E-3</v>
      </c>
      <c r="L82" s="32">
        <f t="shared" si="31"/>
        <v>9550.8720000000012</v>
      </c>
      <c r="M82" s="9">
        <f t="shared" si="28"/>
        <v>4.2881719614894622E-3</v>
      </c>
      <c r="N82" s="8" t="s">
        <v>176</v>
      </c>
    </row>
    <row r="83" spans="1:14" x14ac:dyDescent="0.35">
      <c r="A83" s="5" t="s">
        <v>71</v>
      </c>
      <c r="B83" s="32"/>
      <c r="C83" s="9">
        <f t="shared" si="23"/>
        <v>0</v>
      </c>
      <c r="D83" s="32">
        <f>200*12</f>
        <v>2400</v>
      </c>
      <c r="E83" s="9">
        <f t="shared" si="24"/>
        <v>1.5761853165528776E-3</v>
      </c>
      <c r="F83" s="32">
        <f>238</f>
        <v>238</v>
      </c>
      <c r="G83" s="9">
        <f t="shared" si="25"/>
        <v>1.2980316381838808E-4</v>
      </c>
      <c r="H83" s="32">
        <f t="shared" si="29"/>
        <v>242.76</v>
      </c>
      <c r="I83" s="9">
        <f t="shared" si="26"/>
        <v>1.149493991631974E-4</v>
      </c>
      <c r="J83" s="32">
        <f t="shared" si="30"/>
        <v>247.61519999999999</v>
      </c>
      <c r="K83" s="9">
        <f t="shared" si="27"/>
        <v>1.1445091121032377E-4</v>
      </c>
      <c r="L83" s="32">
        <f t="shared" si="31"/>
        <v>252.56750399999999</v>
      </c>
      <c r="M83" s="9">
        <f t="shared" si="28"/>
        <v>1.1339832520383241E-4</v>
      </c>
      <c r="N83" s="8" t="s">
        <v>185</v>
      </c>
    </row>
    <row r="84" spans="1:14" x14ac:dyDescent="0.35">
      <c r="A84" s="5" t="s">
        <v>72</v>
      </c>
      <c r="B84" s="32"/>
      <c r="C84" s="9">
        <f t="shared" si="23"/>
        <v>0</v>
      </c>
      <c r="D84" s="32">
        <f>15*12</f>
        <v>180</v>
      </c>
      <c r="E84" s="9">
        <f t="shared" si="24"/>
        <v>1.1821389874146581E-4</v>
      </c>
      <c r="F84" s="32">
        <f>D84*1.02</f>
        <v>183.6</v>
      </c>
      <c r="G84" s="9">
        <f t="shared" si="25"/>
        <v>1.0013386923132795E-4</v>
      </c>
      <c r="H84" s="32">
        <f t="shared" si="29"/>
        <v>187.27199999999999</v>
      </c>
      <c r="I84" s="9">
        <f t="shared" si="26"/>
        <v>8.8675250783038E-5</v>
      </c>
      <c r="J84" s="32">
        <f t="shared" si="30"/>
        <v>191.01743999999999</v>
      </c>
      <c r="K84" s="9">
        <f t="shared" si="27"/>
        <v>8.829070293367833E-5</v>
      </c>
      <c r="L84" s="32">
        <f t="shared" si="31"/>
        <v>194.8377888</v>
      </c>
      <c r="M84" s="9">
        <f t="shared" si="28"/>
        <v>8.7478708014385013E-5</v>
      </c>
      <c r="N84" s="8" t="s">
        <v>186</v>
      </c>
    </row>
    <row r="85" spans="1:14" x14ac:dyDescent="0.35">
      <c r="A85" s="5" t="s">
        <v>73</v>
      </c>
      <c r="B85" s="32">
        <v>2500</v>
      </c>
      <c r="C85" s="9">
        <f t="shared" si="23"/>
        <v>8.8778409090909099E-3</v>
      </c>
      <c r="D85" s="32">
        <v>2000</v>
      </c>
      <c r="E85" s="9">
        <f t="shared" si="24"/>
        <v>1.3134877637940646E-3</v>
      </c>
      <c r="F85" s="32">
        <f>D85</f>
        <v>2000</v>
      </c>
      <c r="G85" s="9">
        <f t="shared" si="25"/>
        <v>1.090782889230152E-3</v>
      </c>
      <c r="H85" s="32">
        <v>2000</v>
      </c>
      <c r="I85" s="9">
        <f t="shared" si="26"/>
        <v>9.4702091912339265E-4</v>
      </c>
      <c r="J85" s="32">
        <v>2000</v>
      </c>
      <c r="K85" s="9">
        <f t="shared" si="27"/>
        <v>9.2442557008070398E-4</v>
      </c>
      <c r="L85" s="32">
        <v>2000</v>
      </c>
      <c r="M85" s="9">
        <f t="shared" si="28"/>
        <v>8.9796449193109515E-4</v>
      </c>
      <c r="N85" s="8" t="s">
        <v>187</v>
      </c>
    </row>
    <row r="86" spans="1:14" x14ac:dyDescent="0.35">
      <c r="A86" s="5" t="s">
        <v>74</v>
      </c>
      <c r="B86" s="32">
        <v>10000</v>
      </c>
      <c r="C86" s="9">
        <f t="shared" si="23"/>
        <v>3.551136363636364E-2</v>
      </c>
      <c r="D86" s="32">
        <v>10000</v>
      </c>
      <c r="E86" s="9">
        <f t="shared" si="24"/>
        <v>6.5674388189703231E-3</v>
      </c>
      <c r="F86" s="32">
        <f>D86*1.02</f>
        <v>10200</v>
      </c>
      <c r="G86" s="9">
        <f t="shared" si="25"/>
        <v>5.5629927350737754E-3</v>
      </c>
      <c r="H86" s="32">
        <f t="shared" ref="H86:H87" si="32">F86*1.02</f>
        <v>10404</v>
      </c>
      <c r="I86" s="9">
        <f t="shared" si="26"/>
        <v>4.9264028212798886E-3</v>
      </c>
      <c r="J86" s="32">
        <f t="shared" ref="J86:J87" si="33">H86*1.02</f>
        <v>10612.08</v>
      </c>
      <c r="K86" s="9">
        <f t="shared" si="27"/>
        <v>4.9050390518710187E-3</v>
      </c>
      <c r="L86" s="32">
        <f t="shared" ref="L86:L87" si="34">J86*1.02</f>
        <v>10824.321599999999</v>
      </c>
      <c r="M86" s="9">
        <f t="shared" si="28"/>
        <v>4.859928223021389E-3</v>
      </c>
      <c r="N86" s="8" t="s">
        <v>176</v>
      </c>
    </row>
    <row r="87" spans="1:14" x14ac:dyDescent="0.35">
      <c r="A87" s="5" t="s">
        <v>75</v>
      </c>
      <c r="B87" s="32">
        <v>2500</v>
      </c>
      <c r="C87" s="9">
        <f t="shared" si="23"/>
        <v>8.8778409090909099E-3</v>
      </c>
      <c r="D87" s="32">
        <v>2500</v>
      </c>
      <c r="E87" s="9">
        <f t="shared" si="24"/>
        <v>1.6418597047425808E-3</v>
      </c>
      <c r="F87" s="32">
        <v>68000</v>
      </c>
      <c r="G87" s="9">
        <f t="shared" si="25"/>
        <v>3.7086618233825169E-2</v>
      </c>
      <c r="H87" s="32">
        <f t="shared" si="32"/>
        <v>69360</v>
      </c>
      <c r="I87" s="9">
        <f t="shared" si="26"/>
        <v>3.2842685475199258E-2</v>
      </c>
      <c r="J87" s="32">
        <f t="shared" si="33"/>
        <v>70747.199999999997</v>
      </c>
      <c r="K87" s="9">
        <f t="shared" si="27"/>
        <v>3.2700260345806788E-2</v>
      </c>
      <c r="L87" s="32">
        <f t="shared" si="34"/>
        <v>72162.144</v>
      </c>
      <c r="M87" s="9">
        <f t="shared" si="28"/>
        <v>3.239952148680926E-2</v>
      </c>
      <c r="N87" s="8" t="s">
        <v>188</v>
      </c>
    </row>
    <row r="88" spans="1:14" x14ac:dyDescent="0.35">
      <c r="A88" s="5" t="s">
        <v>76</v>
      </c>
      <c r="B88" s="32"/>
      <c r="C88" s="9">
        <f t="shared" si="23"/>
        <v>0</v>
      </c>
      <c r="D88" s="32"/>
      <c r="E88" s="9">
        <f t="shared" si="24"/>
        <v>0</v>
      </c>
      <c r="F88" s="32">
        <f>D88*1.02</f>
        <v>0</v>
      </c>
      <c r="G88" s="9">
        <f t="shared" si="25"/>
        <v>0</v>
      </c>
      <c r="H88" s="32"/>
      <c r="I88" s="9">
        <f t="shared" si="26"/>
        <v>0</v>
      </c>
      <c r="J88" s="32"/>
      <c r="K88" s="9">
        <f t="shared" si="27"/>
        <v>0</v>
      </c>
      <c r="L88" s="32"/>
      <c r="M88" s="9">
        <f t="shared" si="28"/>
        <v>0</v>
      </c>
      <c r="N88" s="8" t="s">
        <v>189</v>
      </c>
    </row>
    <row r="89" spans="1:14" x14ac:dyDescent="0.35">
      <c r="A89" s="5" t="s">
        <v>77</v>
      </c>
      <c r="B89" s="32"/>
      <c r="C89" s="9">
        <f t="shared" si="23"/>
        <v>0</v>
      </c>
      <c r="D89" s="32">
        <v>3000</v>
      </c>
      <c r="E89" s="9">
        <f t="shared" si="24"/>
        <v>1.9702316456910967E-3</v>
      </c>
      <c r="F89" s="32">
        <f>D89*1.02</f>
        <v>3060</v>
      </c>
      <c r="G89" s="9">
        <f t="shared" si="25"/>
        <v>1.6688978205221326E-3</v>
      </c>
      <c r="H89" s="32">
        <f t="shared" ref="H89:H91" si="35">F89*1.02</f>
        <v>3121.2000000000003</v>
      </c>
      <c r="I89" s="9">
        <f t="shared" si="26"/>
        <v>1.4779208463839668E-3</v>
      </c>
      <c r="J89" s="32">
        <f t="shared" ref="J89:J91" si="36">H89*1.02</f>
        <v>3183.6240000000003</v>
      </c>
      <c r="K89" s="9">
        <f t="shared" si="27"/>
        <v>1.4715117155613057E-3</v>
      </c>
      <c r="L89" s="32">
        <f t="shared" ref="L89:L91" si="37">J89*1.02</f>
        <v>3247.2964800000004</v>
      </c>
      <c r="M89" s="9">
        <f t="shared" si="28"/>
        <v>1.4579784669064171E-3</v>
      </c>
      <c r="N89" s="8" t="s">
        <v>176</v>
      </c>
    </row>
    <row r="90" spans="1:14" x14ac:dyDescent="0.35">
      <c r="A90" s="5" t="s">
        <v>78</v>
      </c>
      <c r="B90" s="32">
        <v>500</v>
      </c>
      <c r="C90" s="9">
        <f t="shared" si="23"/>
        <v>1.7755681818181818E-3</v>
      </c>
      <c r="D90" s="32"/>
      <c r="E90" s="9">
        <f t="shared" si="24"/>
        <v>0</v>
      </c>
      <c r="F90" s="32">
        <v>500</v>
      </c>
      <c r="G90" s="9">
        <f t="shared" si="25"/>
        <v>2.7269572230753799E-4</v>
      </c>
      <c r="H90" s="32">
        <f t="shared" si="35"/>
        <v>510</v>
      </c>
      <c r="I90" s="9">
        <f t="shared" si="26"/>
        <v>2.4149033437646515E-4</v>
      </c>
      <c r="J90" s="32">
        <f t="shared" si="36"/>
        <v>520.20000000000005</v>
      </c>
      <c r="K90" s="9">
        <f t="shared" si="27"/>
        <v>2.4044309077799112E-4</v>
      </c>
      <c r="L90" s="32">
        <f t="shared" si="37"/>
        <v>530.60400000000004</v>
      </c>
      <c r="M90" s="9">
        <f t="shared" si="28"/>
        <v>2.3823177563830344E-4</v>
      </c>
      <c r="N90" s="8" t="s">
        <v>190</v>
      </c>
    </row>
    <row r="91" spans="1:14" x14ac:dyDescent="0.35">
      <c r="A91" s="5" t="s">
        <v>79</v>
      </c>
      <c r="B91" s="32">
        <v>500</v>
      </c>
      <c r="C91" s="9">
        <f t="shared" si="23"/>
        <v>1.7755681818181818E-3</v>
      </c>
      <c r="D91" s="32">
        <v>500</v>
      </c>
      <c r="E91" s="9">
        <f t="shared" si="24"/>
        <v>3.2837194094851614E-4</v>
      </c>
      <c r="F91" s="32">
        <f>D91*1.02</f>
        <v>510</v>
      </c>
      <c r="G91" s="9">
        <f t="shared" si="25"/>
        <v>2.7814963675368878E-4</v>
      </c>
      <c r="H91" s="32">
        <f t="shared" si="35"/>
        <v>520.20000000000005</v>
      </c>
      <c r="I91" s="9">
        <f t="shared" si="26"/>
        <v>2.4632014106399448E-4</v>
      </c>
      <c r="J91" s="32">
        <f t="shared" si="36"/>
        <v>530.60400000000004</v>
      </c>
      <c r="K91" s="9">
        <f t="shared" si="27"/>
        <v>2.4525195259355096E-4</v>
      </c>
      <c r="L91" s="32">
        <f t="shared" si="37"/>
        <v>541.21608000000003</v>
      </c>
      <c r="M91" s="9">
        <f t="shared" si="28"/>
        <v>2.4299641115106948E-4</v>
      </c>
      <c r="N91" s="8" t="s">
        <v>191</v>
      </c>
    </row>
    <row r="92" spans="1:14" x14ac:dyDescent="0.35">
      <c r="A92" s="5" t="s">
        <v>80</v>
      </c>
      <c r="B92" s="32"/>
      <c r="C92" s="9">
        <f t="shared" si="23"/>
        <v>0</v>
      </c>
      <c r="D92" s="32"/>
      <c r="E92" s="9">
        <f t="shared" si="24"/>
        <v>0</v>
      </c>
      <c r="F92" s="32">
        <f>D92*1.02</f>
        <v>0</v>
      </c>
      <c r="G92" s="9">
        <f t="shared" si="25"/>
        <v>0</v>
      </c>
      <c r="H92" s="32"/>
      <c r="I92" s="9">
        <f t="shared" si="26"/>
        <v>0</v>
      </c>
      <c r="J92" s="32"/>
      <c r="K92" s="9">
        <f t="shared" si="27"/>
        <v>0</v>
      </c>
      <c r="L92" s="32"/>
      <c r="M92" s="9">
        <f t="shared" si="28"/>
        <v>0</v>
      </c>
      <c r="N92" s="8" t="s">
        <v>189</v>
      </c>
    </row>
    <row r="93" spans="1:14" x14ac:dyDescent="0.35">
      <c r="A93" s="5" t="s">
        <v>81</v>
      </c>
      <c r="B93" s="32"/>
      <c r="C93" s="9">
        <f t="shared" si="23"/>
        <v>0</v>
      </c>
      <c r="D93" s="32">
        <f>400*12</f>
        <v>4800</v>
      </c>
      <c r="E93" s="9">
        <f t="shared" si="24"/>
        <v>3.1523706331057551E-3</v>
      </c>
      <c r="F93" s="32">
        <f>D93*1.02</f>
        <v>4896</v>
      </c>
      <c r="G93" s="9">
        <f t="shared" si="25"/>
        <v>2.670236512835412E-3</v>
      </c>
      <c r="H93" s="32">
        <f>F93*1.02</f>
        <v>4993.92</v>
      </c>
      <c r="I93" s="9">
        <f t="shared" si="26"/>
        <v>2.3646733542143465E-3</v>
      </c>
      <c r="J93" s="32">
        <f>H93*1.02</f>
        <v>5093.7984000000006</v>
      </c>
      <c r="K93" s="9">
        <f t="shared" si="27"/>
        <v>2.354418744898089E-3</v>
      </c>
      <c r="L93" s="32">
        <f>J93*1.02</f>
        <v>5195.6743680000009</v>
      </c>
      <c r="M93" s="9">
        <f t="shared" si="28"/>
        <v>2.3327655470502672E-3</v>
      </c>
      <c r="N93" s="8" t="s">
        <v>205</v>
      </c>
    </row>
    <row r="94" spans="1:14" x14ac:dyDescent="0.35">
      <c r="A94" s="5" t="s">
        <v>42</v>
      </c>
      <c r="B94" s="32"/>
      <c r="C94" s="9">
        <f t="shared" si="23"/>
        <v>0</v>
      </c>
      <c r="D94" s="32">
        <f>2.75*D5*190*0.8</f>
        <v>45980</v>
      </c>
      <c r="E94" s="9">
        <f t="shared" si="24"/>
        <v>3.0197083689625547E-2</v>
      </c>
      <c r="F94" s="32">
        <f>2.75*F5*190*0.8</f>
        <v>54967</v>
      </c>
      <c r="G94" s="9">
        <f t="shared" si="25"/>
        <v>2.9978531536156882E-2</v>
      </c>
      <c r="H94" s="32">
        <f>2.75*H5*190*0.8</f>
        <v>62909</v>
      </c>
      <c r="I94" s="9">
        <f t="shared" si="26"/>
        <v>2.9788069500566755E-2</v>
      </c>
      <c r="J94" s="32">
        <f>2.75*J5*190*0.8</f>
        <v>62909</v>
      </c>
      <c r="K94" s="9">
        <f t="shared" si="27"/>
        <v>2.9077344094103504E-2</v>
      </c>
      <c r="L94" s="32">
        <f>2.75*L5*190*0.8</f>
        <v>62909</v>
      </c>
      <c r="M94" s="9">
        <f t="shared" si="28"/>
        <v>2.8245024111446634E-2</v>
      </c>
      <c r="N94" s="8" t="s">
        <v>192</v>
      </c>
    </row>
    <row r="95" spans="1:14" x14ac:dyDescent="0.35">
      <c r="A95" s="5" t="s">
        <v>82</v>
      </c>
      <c r="B95" s="32"/>
      <c r="C95" s="9">
        <f t="shared" si="23"/>
        <v>0</v>
      </c>
      <c r="D95" s="32"/>
      <c r="E95" s="9">
        <f t="shared" si="24"/>
        <v>0</v>
      </c>
      <c r="F95" s="32"/>
      <c r="G95" s="9">
        <f t="shared" si="25"/>
        <v>0</v>
      </c>
      <c r="H95" s="32"/>
      <c r="I95" s="9">
        <f t="shared" si="26"/>
        <v>0</v>
      </c>
      <c r="J95" s="32"/>
      <c r="K95" s="9">
        <f t="shared" si="27"/>
        <v>0</v>
      </c>
      <c r="L95" s="32"/>
      <c r="M95" s="9">
        <f t="shared" si="28"/>
        <v>0</v>
      </c>
      <c r="N95" s="8" t="s">
        <v>193</v>
      </c>
    </row>
    <row r="96" spans="1:14" x14ac:dyDescent="0.35">
      <c r="A96" s="5" t="s">
        <v>83</v>
      </c>
      <c r="B96" s="32"/>
      <c r="C96" s="9">
        <f t="shared" si="23"/>
        <v>0</v>
      </c>
      <c r="D96" s="32">
        <v>2500</v>
      </c>
      <c r="E96" s="9">
        <f t="shared" si="24"/>
        <v>1.6418597047425808E-3</v>
      </c>
      <c r="F96" s="32">
        <f t="shared" ref="F96:F101" si="38">D96*1.02</f>
        <v>2550</v>
      </c>
      <c r="G96" s="9">
        <f t="shared" si="25"/>
        <v>1.3907481837684438E-3</v>
      </c>
      <c r="H96" s="32">
        <f t="shared" ref="H96:H101" si="39">F96*1.02</f>
        <v>2601</v>
      </c>
      <c r="I96" s="9">
        <f t="shared" si="26"/>
        <v>1.2316007053199721E-3</v>
      </c>
      <c r="J96" s="32">
        <f t="shared" ref="J96:J101" si="40">H96*1.02</f>
        <v>2653.02</v>
      </c>
      <c r="K96" s="9">
        <f t="shared" si="27"/>
        <v>1.2262597629677547E-3</v>
      </c>
      <c r="L96" s="32">
        <f t="shared" ref="L96:L101" si="41">J96*1.02</f>
        <v>2706.0803999999998</v>
      </c>
      <c r="M96" s="9">
        <f t="shared" si="28"/>
        <v>1.2149820557553473E-3</v>
      </c>
      <c r="N96" s="8" t="s">
        <v>176</v>
      </c>
    </row>
    <row r="97" spans="1:14" x14ac:dyDescent="0.35">
      <c r="A97" s="5" t="s">
        <v>84</v>
      </c>
      <c r="B97" s="32"/>
      <c r="C97" s="9">
        <f t="shared" si="23"/>
        <v>0</v>
      </c>
      <c r="D97" s="32">
        <v>1500</v>
      </c>
      <c r="E97" s="9">
        <f t="shared" si="24"/>
        <v>9.8511582284554837E-4</v>
      </c>
      <c r="F97" s="32">
        <f t="shared" si="38"/>
        <v>1530</v>
      </c>
      <c r="G97" s="9">
        <f t="shared" si="25"/>
        <v>8.3444891026106629E-4</v>
      </c>
      <c r="H97" s="32">
        <f t="shared" si="39"/>
        <v>1560.6000000000001</v>
      </c>
      <c r="I97" s="9">
        <f t="shared" si="26"/>
        <v>7.389604231919834E-4</v>
      </c>
      <c r="J97" s="32">
        <f t="shared" si="40"/>
        <v>1591.8120000000001</v>
      </c>
      <c r="K97" s="9">
        <f t="shared" si="27"/>
        <v>7.3575585778065287E-4</v>
      </c>
      <c r="L97" s="32">
        <f t="shared" si="41"/>
        <v>1623.6482400000002</v>
      </c>
      <c r="M97" s="9">
        <f t="shared" si="28"/>
        <v>7.2898923345320857E-4</v>
      </c>
      <c r="N97" s="8" t="s">
        <v>184</v>
      </c>
    </row>
    <row r="98" spans="1:14" x14ac:dyDescent="0.35">
      <c r="A98" s="5" t="s">
        <v>85</v>
      </c>
      <c r="B98" s="32"/>
      <c r="C98" s="9">
        <f t="shared" si="23"/>
        <v>0</v>
      </c>
      <c r="D98" s="32">
        <f>2500*12</f>
        <v>30000</v>
      </c>
      <c r="E98" s="9">
        <f t="shared" si="24"/>
        <v>1.9702316456910968E-2</v>
      </c>
      <c r="F98" s="32">
        <f t="shared" si="38"/>
        <v>30600</v>
      </c>
      <c r="G98" s="9">
        <f t="shared" si="25"/>
        <v>1.6688978205221326E-2</v>
      </c>
      <c r="H98" s="32">
        <f t="shared" si="39"/>
        <v>31212</v>
      </c>
      <c r="I98" s="9">
        <f t="shared" si="26"/>
        <v>1.4779208463839667E-2</v>
      </c>
      <c r="J98" s="32">
        <f t="shared" si="40"/>
        <v>31836.240000000002</v>
      </c>
      <c r="K98" s="9">
        <f t="shared" si="27"/>
        <v>1.4715117155613057E-2</v>
      </c>
      <c r="L98" s="32">
        <f t="shared" si="41"/>
        <v>32472.964800000002</v>
      </c>
      <c r="M98" s="9">
        <f t="shared" si="28"/>
        <v>1.4579784669064169E-2</v>
      </c>
      <c r="N98" s="8" t="s">
        <v>205</v>
      </c>
    </row>
    <row r="99" spans="1:14" x14ac:dyDescent="0.35">
      <c r="A99" s="5" t="s">
        <v>86</v>
      </c>
      <c r="B99" s="32"/>
      <c r="C99" s="9">
        <f t="shared" si="23"/>
        <v>0</v>
      </c>
      <c r="D99" s="32">
        <f>85*12</f>
        <v>1020</v>
      </c>
      <c r="E99" s="9">
        <f t="shared" si="24"/>
        <v>6.6987875953497295E-4</v>
      </c>
      <c r="F99" s="32">
        <f t="shared" si="38"/>
        <v>1040.4000000000001</v>
      </c>
      <c r="G99" s="9">
        <f t="shared" si="25"/>
        <v>5.6742525897752506E-4</v>
      </c>
      <c r="H99" s="32">
        <f t="shared" si="39"/>
        <v>1061.2080000000001</v>
      </c>
      <c r="I99" s="9">
        <f t="shared" si="26"/>
        <v>5.0249308777054866E-4</v>
      </c>
      <c r="J99" s="32">
        <f t="shared" si="40"/>
        <v>1082.4321600000001</v>
      </c>
      <c r="K99" s="9">
        <f t="shared" si="27"/>
        <v>5.0031398329084388E-4</v>
      </c>
      <c r="L99" s="32">
        <f t="shared" si="41"/>
        <v>1104.0808032</v>
      </c>
      <c r="M99" s="9">
        <f t="shared" si="28"/>
        <v>4.9571267874818172E-4</v>
      </c>
      <c r="N99" s="8" t="s">
        <v>206</v>
      </c>
    </row>
    <row r="100" spans="1:14" x14ac:dyDescent="0.35">
      <c r="A100" s="5" t="s">
        <v>87</v>
      </c>
      <c r="B100" s="32"/>
      <c r="C100" s="9">
        <f t="shared" si="23"/>
        <v>0</v>
      </c>
      <c r="D100" s="32">
        <v>5000</v>
      </c>
      <c r="E100" s="9">
        <f t="shared" si="24"/>
        <v>3.2837194094851615E-3</v>
      </c>
      <c r="F100" s="32">
        <f t="shared" si="38"/>
        <v>5100</v>
      </c>
      <c r="G100" s="9">
        <f t="shared" si="25"/>
        <v>2.7814963675368877E-3</v>
      </c>
      <c r="H100" s="32">
        <f t="shared" si="39"/>
        <v>5202</v>
      </c>
      <c r="I100" s="9">
        <f t="shared" si="26"/>
        <v>2.4632014106399443E-3</v>
      </c>
      <c r="J100" s="32">
        <f t="shared" si="40"/>
        <v>5306.04</v>
      </c>
      <c r="K100" s="9">
        <f t="shared" si="27"/>
        <v>2.4525195259355093E-3</v>
      </c>
      <c r="L100" s="32">
        <f t="shared" si="41"/>
        <v>5412.1607999999997</v>
      </c>
      <c r="M100" s="9">
        <f t="shared" si="28"/>
        <v>2.4299641115106945E-3</v>
      </c>
      <c r="N100" s="8" t="s">
        <v>194</v>
      </c>
    </row>
    <row r="101" spans="1:14" x14ac:dyDescent="0.35">
      <c r="A101" s="8" t="s">
        <v>195</v>
      </c>
      <c r="B101" s="32"/>
      <c r="C101" s="9">
        <f t="shared" si="23"/>
        <v>0</v>
      </c>
      <c r="D101" s="32">
        <v>1500</v>
      </c>
      <c r="E101" s="9">
        <f t="shared" si="24"/>
        <v>9.8511582284554837E-4</v>
      </c>
      <c r="F101" s="32">
        <f t="shared" si="38"/>
        <v>1530</v>
      </c>
      <c r="G101" s="9">
        <f t="shared" si="25"/>
        <v>8.3444891026106629E-4</v>
      </c>
      <c r="H101" s="32">
        <f t="shared" si="39"/>
        <v>1560.6000000000001</v>
      </c>
      <c r="I101" s="9">
        <f t="shared" si="26"/>
        <v>7.389604231919834E-4</v>
      </c>
      <c r="J101" s="32">
        <f t="shared" si="40"/>
        <v>1591.8120000000001</v>
      </c>
      <c r="K101" s="9">
        <f t="shared" si="27"/>
        <v>7.3575585778065287E-4</v>
      </c>
      <c r="L101" s="32">
        <f t="shared" si="41"/>
        <v>1623.6482400000002</v>
      </c>
      <c r="M101" s="9">
        <f t="shared" si="28"/>
        <v>7.2898923345320857E-4</v>
      </c>
      <c r="N101" s="8" t="s">
        <v>184</v>
      </c>
    </row>
    <row r="102" spans="1:14" x14ac:dyDescent="0.35">
      <c r="A102" s="8"/>
      <c r="B102" s="32"/>
      <c r="C102" s="9">
        <f t="shared" si="23"/>
        <v>0</v>
      </c>
      <c r="D102" s="32"/>
      <c r="E102" s="9">
        <f t="shared" si="24"/>
        <v>0</v>
      </c>
      <c r="F102" s="32"/>
      <c r="G102" s="9">
        <f t="shared" si="25"/>
        <v>0</v>
      </c>
      <c r="H102" s="32"/>
      <c r="I102" s="9">
        <f t="shared" si="26"/>
        <v>0</v>
      </c>
      <c r="J102" s="32"/>
      <c r="K102" s="9">
        <f t="shared" si="27"/>
        <v>0</v>
      </c>
      <c r="L102" s="32"/>
      <c r="M102" s="9">
        <f t="shared" si="28"/>
        <v>0</v>
      </c>
      <c r="N102" s="8"/>
    </row>
    <row r="103" spans="1:14" x14ac:dyDescent="0.35">
      <c r="A103" s="10" t="s">
        <v>88</v>
      </c>
      <c r="B103" s="33">
        <f>SUM(B74:B102)</f>
        <v>29100</v>
      </c>
      <c r="C103" s="11">
        <f t="shared" si="23"/>
        <v>0.10333806818181818</v>
      </c>
      <c r="D103" s="33">
        <f>SUM(D74:D102)</f>
        <v>167380</v>
      </c>
      <c r="E103" s="12">
        <f t="shared" si="24"/>
        <v>0.10992579095192527</v>
      </c>
      <c r="F103" s="33">
        <f>SUM(F74:F102)</f>
        <v>249325</v>
      </c>
      <c r="G103" s="12">
        <f t="shared" si="25"/>
        <v>0.13597972192865382</v>
      </c>
      <c r="H103" s="33">
        <f>SUM(H74:H102)</f>
        <v>259984.16000000006</v>
      </c>
      <c r="I103" s="12">
        <f t="shared" si="26"/>
        <v>0.12310521908036162</v>
      </c>
      <c r="J103" s="33">
        <f>SUM(J74:J102)</f>
        <v>259975.66320000001</v>
      </c>
      <c r="K103" s="12">
        <f t="shared" si="27"/>
        <v>0.12016407533038455</v>
      </c>
      <c r="L103" s="33">
        <f>SUM(L74:L102)</f>
        <v>263842.99646400003</v>
      </c>
      <c r="M103" s="12">
        <f t="shared" si="28"/>
        <v>0.11846082113468676</v>
      </c>
      <c r="N103" s="8"/>
    </row>
    <row r="104" spans="1:14" x14ac:dyDescent="0.35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 x14ac:dyDescent="0.35">
      <c r="A105" s="54" t="s">
        <v>89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 x14ac:dyDescent="0.35">
      <c r="A106" s="52" t="s">
        <v>90</v>
      </c>
      <c r="B106" s="53"/>
      <c r="C106" s="61">
        <f t="shared" ref="C106:C113" si="42">B106/B$115</f>
        <v>0</v>
      </c>
      <c r="D106" s="53">
        <f>1.81*D6*12</f>
        <v>183262.5</v>
      </c>
      <c r="E106" s="61">
        <f t="shared" ref="E106:E113" si="43">D106/D$115</f>
        <v>0.12035652565615489</v>
      </c>
      <c r="F106" s="53">
        <f>1.81*F6*12</f>
        <v>215842.5</v>
      </c>
      <c r="G106" s="61">
        <f t="shared" ref="G106:G113" si="44">F106/F$115</f>
        <v>0.11771865288432955</v>
      </c>
      <c r="H106" s="53">
        <f>1.81*H6*12</f>
        <v>245164.5</v>
      </c>
      <c r="I106" s="61">
        <f t="shared" ref="I106:I113" si="45">H106/H$115</f>
        <v>0.11608795506321351</v>
      </c>
      <c r="J106" s="53">
        <f>1.81*J6*12</f>
        <v>245164.5</v>
      </c>
      <c r="K106" s="61">
        <f t="shared" ref="K106:K113" si="46">J106/J$115</f>
        <v>0.11331816633802537</v>
      </c>
      <c r="L106" s="53">
        <f>1.81*L6*12</f>
        <v>245164.5</v>
      </c>
      <c r="M106" s="61">
        <f t="shared" ref="M106:M113" si="47">L106/L$115</f>
        <v>0.11007450784102049</v>
      </c>
      <c r="N106" s="62" t="s">
        <v>204</v>
      </c>
    </row>
    <row r="107" spans="1:14" x14ac:dyDescent="0.35">
      <c r="A107" s="5" t="s">
        <v>91</v>
      </c>
      <c r="B107" s="32"/>
      <c r="C107" s="9">
        <f t="shared" si="42"/>
        <v>0</v>
      </c>
      <c r="D107" s="32">
        <f>490*12</f>
        <v>5880</v>
      </c>
      <c r="E107" s="9">
        <f t="shared" si="43"/>
        <v>3.8616540255545502E-3</v>
      </c>
      <c r="F107" s="32">
        <f t="shared" ref="F107:F110" si="48">D107*1.02</f>
        <v>5997.6</v>
      </c>
      <c r="G107" s="9">
        <f t="shared" si="44"/>
        <v>3.2710397282233799E-3</v>
      </c>
      <c r="H107" s="32">
        <f t="shared" ref="H107:H108" si="49">F107*1.02</f>
        <v>6117.5520000000006</v>
      </c>
      <c r="I107" s="9">
        <f t="shared" si="45"/>
        <v>2.896724858912575E-3</v>
      </c>
      <c r="J107" s="32">
        <f t="shared" ref="J107:J110" si="50">H107*1.02</f>
        <v>6239.9030400000011</v>
      </c>
      <c r="K107" s="9">
        <f t="shared" si="46"/>
        <v>2.8841629625001594E-3</v>
      </c>
      <c r="L107" s="32">
        <f t="shared" ref="L107:L110" si="51">J107*1.02</f>
        <v>6364.7011008000009</v>
      </c>
      <c r="M107" s="9">
        <f t="shared" si="47"/>
        <v>2.8576377951365774E-3</v>
      </c>
      <c r="N107" s="8" t="s">
        <v>197</v>
      </c>
    </row>
    <row r="108" spans="1:14" x14ac:dyDescent="0.35">
      <c r="A108" s="5" t="s">
        <v>92</v>
      </c>
      <c r="B108" s="32"/>
      <c r="C108" s="9">
        <f t="shared" si="42"/>
        <v>0</v>
      </c>
      <c r="D108" s="32">
        <v>10000</v>
      </c>
      <c r="E108" s="9">
        <f t="shared" si="43"/>
        <v>6.5674388189703231E-3</v>
      </c>
      <c r="F108" s="32">
        <f t="shared" si="48"/>
        <v>10200</v>
      </c>
      <c r="G108" s="9">
        <f t="shared" si="44"/>
        <v>5.5629927350737754E-3</v>
      </c>
      <c r="H108" s="32">
        <f t="shared" si="49"/>
        <v>10404</v>
      </c>
      <c r="I108" s="9">
        <f t="shared" si="45"/>
        <v>4.9264028212798886E-3</v>
      </c>
      <c r="J108" s="32">
        <f t="shared" si="50"/>
        <v>10612.08</v>
      </c>
      <c r="K108" s="9">
        <f t="shared" si="46"/>
        <v>4.9050390518710187E-3</v>
      </c>
      <c r="L108" s="32">
        <f t="shared" si="51"/>
        <v>10824.321599999999</v>
      </c>
      <c r="M108" s="9">
        <f t="shared" si="47"/>
        <v>4.859928223021389E-3</v>
      </c>
      <c r="N108" s="8" t="s">
        <v>198</v>
      </c>
    </row>
    <row r="109" spans="1:14" x14ac:dyDescent="0.35">
      <c r="A109" s="5" t="s">
        <v>93</v>
      </c>
      <c r="B109" s="32"/>
      <c r="C109" s="9">
        <f t="shared" si="42"/>
        <v>0</v>
      </c>
      <c r="D109" s="32">
        <f>1200*12</f>
        <v>14400</v>
      </c>
      <c r="E109" s="9">
        <f t="shared" si="43"/>
        <v>9.4571118993172654E-3</v>
      </c>
      <c r="F109" s="32">
        <f t="shared" si="48"/>
        <v>14688</v>
      </c>
      <c r="G109" s="9">
        <f t="shared" si="44"/>
        <v>8.0107095385062357E-3</v>
      </c>
      <c r="H109" s="32">
        <f>F109*1.1</f>
        <v>16156.800000000001</v>
      </c>
      <c r="I109" s="9">
        <f t="shared" si="45"/>
        <v>7.6504137930464159E-3</v>
      </c>
      <c r="J109" s="32">
        <f t="shared" si="50"/>
        <v>16479.936000000002</v>
      </c>
      <c r="K109" s="9">
        <f t="shared" si="46"/>
        <v>7.6172371158467591E-3</v>
      </c>
      <c r="L109" s="32">
        <f t="shared" si="51"/>
        <v>16809.534720000003</v>
      </c>
      <c r="M109" s="9">
        <f t="shared" si="47"/>
        <v>7.5471826522214534E-3</v>
      </c>
      <c r="N109" s="8" t="s">
        <v>212</v>
      </c>
    </row>
    <row r="110" spans="1:14" x14ac:dyDescent="0.35">
      <c r="A110" s="5" t="s">
        <v>94</v>
      </c>
      <c r="B110" s="32"/>
      <c r="C110" s="9">
        <f t="shared" si="42"/>
        <v>0</v>
      </c>
      <c r="D110" s="32">
        <v>1500</v>
      </c>
      <c r="E110" s="9">
        <f t="shared" si="43"/>
        <v>9.8511582284554837E-4</v>
      </c>
      <c r="F110" s="32">
        <f t="shared" si="48"/>
        <v>1530</v>
      </c>
      <c r="G110" s="9">
        <f t="shared" si="44"/>
        <v>8.3444891026106629E-4</v>
      </c>
      <c r="H110" s="32">
        <f>F110*1.02</f>
        <v>1560.6000000000001</v>
      </c>
      <c r="I110" s="9">
        <f t="shared" si="45"/>
        <v>7.389604231919834E-4</v>
      </c>
      <c r="J110" s="32">
        <f t="shared" si="50"/>
        <v>1591.8120000000001</v>
      </c>
      <c r="K110" s="9">
        <f t="shared" si="46"/>
        <v>7.3575585778065287E-4</v>
      </c>
      <c r="L110" s="32">
        <f t="shared" si="51"/>
        <v>1623.6482400000002</v>
      </c>
      <c r="M110" s="9">
        <f t="shared" si="47"/>
        <v>7.2898923345320857E-4</v>
      </c>
      <c r="N110" s="8" t="s">
        <v>199</v>
      </c>
    </row>
    <row r="111" spans="1:14" x14ac:dyDescent="0.35">
      <c r="A111" s="8" t="s">
        <v>196</v>
      </c>
      <c r="B111" s="32">
        <v>150000</v>
      </c>
      <c r="C111" s="9">
        <f t="shared" si="42"/>
        <v>0.53267045454545459</v>
      </c>
      <c r="D111" s="32"/>
      <c r="E111" s="9">
        <f t="shared" si="43"/>
        <v>0</v>
      </c>
      <c r="F111" s="32"/>
      <c r="G111" s="9">
        <f t="shared" si="44"/>
        <v>0</v>
      </c>
      <c r="H111" s="32"/>
      <c r="I111" s="9">
        <f t="shared" si="45"/>
        <v>0</v>
      </c>
      <c r="J111" s="32"/>
      <c r="K111" s="9">
        <f t="shared" si="46"/>
        <v>0</v>
      </c>
      <c r="L111" s="32"/>
      <c r="M111" s="9">
        <f t="shared" si="47"/>
        <v>0</v>
      </c>
      <c r="N111" s="8" t="s">
        <v>200</v>
      </c>
    </row>
    <row r="112" spans="1:14" x14ac:dyDescent="0.35">
      <c r="A112" s="8"/>
      <c r="B112" s="32"/>
      <c r="C112" s="9">
        <f t="shared" si="42"/>
        <v>0</v>
      </c>
      <c r="D112" s="32"/>
      <c r="E112" s="9">
        <f t="shared" si="43"/>
        <v>0</v>
      </c>
      <c r="F112" s="32"/>
      <c r="G112" s="9">
        <f t="shared" si="44"/>
        <v>0</v>
      </c>
      <c r="H112" s="32"/>
      <c r="I112" s="9">
        <f t="shared" si="45"/>
        <v>0</v>
      </c>
      <c r="J112" s="32"/>
      <c r="K112" s="9">
        <f t="shared" si="46"/>
        <v>0</v>
      </c>
      <c r="L112" s="32"/>
      <c r="M112" s="9">
        <f t="shared" si="47"/>
        <v>0</v>
      </c>
      <c r="N112" s="8"/>
    </row>
    <row r="113" spans="1:14" x14ac:dyDescent="0.35">
      <c r="A113" s="10" t="s">
        <v>95</v>
      </c>
      <c r="B113" s="33">
        <f>SUM(B106:B112)</f>
        <v>150000</v>
      </c>
      <c r="C113" s="11">
        <f t="shared" si="42"/>
        <v>0.53267045454545459</v>
      </c>
      <c r="D113" s="33">
        <f>SUM(D106:D112)</f>
        <v>215042.5</v>
      </c>
      <c r="E113" s="12">
        <f t="shared" si="43"/>
        <v>0.14122784622284257</v>
      </c>
      <c r="F113" s="33">
        <f>SUM(F106:F112)</f>
        <v>248258.1</v>
      </c>
      <c r="G113" s="12">
        <f t="shared" si="44"/>
        <v>0.135397843796394</v>
      </c>
      <c r="H113" s="33">
        <f>SUM(H106:H112)</f>
        <v>279403.45199999999</v>
      </c>
      <c r="I113" s="12">
        <f t="shared" si="45"/>
        <v>0.13230045695964437</v>
      </c>
      <c r="J113" s="33">
        <f>SUM(J106:J112)</f>
        <v>280088.23103999998</v>
      </c>
      <c r="K113" s="12">
        <f t="shared" si="46"/>
        <v>0.12946036132602395</v>
      </c>
      <c r="L113" s="33">
        <f>SUM(L106:L112)</f>
        <v>280786.70566080004</v>
      </c>
      <c r="M113" s="12">
        <f t="shared" si="47"/>
        <v>0.12606824574485315</v>
      </c>
      <c r="N113" s="8"/>
    </row>
    <row r="114" spans="1:14" x14ac:dyDescent="0.35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5" x14ac:dyDescent="0.35">
      <c r="A115" s="13" t="s">
        <v>96</v>
      </c>
      <c r="B115" s="33">
        <f>B113+B103+B71+B55</f>
        <v>281600</v>
      </c>
      <c r="C115" s="10"/>
      <c r="D115" s="33">
        <f t="shared" ref="D115:L115" si="52">D113+D103+D71+D55</f>
        <v>1522663.5946899999</v>
      </c>
      <c r="E115" s="10"/>
      <c r="F115" s="33">
        <f t="shared" si="52"/>
        <v>1833545.4468043144</v>
      </c>
      <c r="G115" s="10"/>
      <c r="H115" s="33">
        <f t="shared" si="52"/>
        <v>2111885.766843772</v>
      </c>
      <c r="I115" s="10"/>
      <c r="J115" s="33">
        <f t="shared" si="52"/>
        <v>2163505.7107143807</v>
      </c>
      <c r="K115" s="10"/>
      <c r="L115" s="33">
        <f t="shared" si="52"/>
        <v>2227259.5608975026</v>
      </c>
      <c r="M115" s="5"/>
      <c r="N115" s="8"/>
    </row>
    <row r="116" spans="1:14" x14ac:dyDescent="0.3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 x14ac:dyDescent="0.35">
      <c r="A117" s="5" t="s">
        <v>97</v>
      </c>
      <c r="B117" s="32">
        <v>0</v>
      </c>
      <c r="C117" s="5"/>
      <c r="D117" s="32">
        <v>0</v>
      </c>
      <c r="E117" s="5"/>
      <c r="F117" s="32"/>
      <c r="G117" s="5"/>
      <c r="H117" s="32"/>
      <c r="I117" s="5"/>
      <c r="J117" s="32"/>
      <c r="K117" s="5"/>
      <c r="L117" s="32"/>
      <c r="M117" s="5"/>
      <c r="N117" s="8"/>
    </row>
    <row r="118" spans="1:14" x14ac:dyDescent="0.3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5" x14ac:dyDescent="0.35">
      <c r="A119" s="13" t="s">
        <v>98</v>
      </c>
      <c r="B119" s="33">
        <f>B32-(B115+B117)</f>
        <v>243400</v>
      </c>
      <c r="C119" s="33"/>
      <c r="D119" s="33">
        <f>D32-(D115+D117)</f>
        <v>21411.460309999995</v>
      </c>
      <c r="E119" s="33"/>
      <c r="F119" s="33">
        <f>F32-(F115+F117)</f>
        <v>62176.005260685459</v>
      </c>
      <c r="G119" s="33"/>
      <c r="H119" s="33">
        <f>H32-(H115+H117)</f>
        <v>124823.35434632795</v>
      </c>
      <c r="I119" s="33"/>
      <c r="J119" s="33">
        <f>J32-(J115+J117)</f>
        <v>170679.41289952165</v>
      </c>
      <c r="K119" s="33"/>
      <c r="L119" s="33">
        <f>L32-(L115+L117)</f>
        <v>233351.08518867753</v>
      </c>
      <c r="M119" s="5"/>
      <c r="N119" s="8"/>
    </row>
    <row r="120" spans="1:14" x14ac:dyDescent="0.35">
      <c r="A120" s="1"/>
      <c r="B120" s="35"/>
      <c r="D120" s="35"/>
      <c r="F120" s="35"/>
      <c r="H120" s="35"/>
      <c r="J120" s="35"/>
      <c r="L120" s="35"/>
      <c r="N120" s="2"/>
    </row>
    <row r="121" spans="1:14" ht="15" thickBot="1" x14ac:dyDescent="0.4">
      <c r="B121" s="35"/>
      <c r="D121" s="35"/>
      <c r="F121" s="35"/>
      <c r="H121" s="35"/>
      <c r="J121" s="35"/>
      <c r="L121" s="35"/>
      <c r="N121" s="2"/>
    </row>
    <row r="122" spans="1:14" ht="26" x14ac:dyDescent="0.6">
      <c r="A122" s="15" t="s">
        <v>99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 x14ac:dyDescent="0.35">
      <c r="A123" s="18" t="s">
        <v>100</v>
      </c>
      <c r="B123" s="74"/>
      <c r="C123" s="5"/>
      <c r="D123" s="37">
        <f>B125</f>
        <v>243400</v>
      </c>
      <c r="E123" s="5"/>
      <c r="F123" s="37">
        <f t="shared" ref="F123:L123" si="53">D125</f>
        <v>264811.46030999999</v>
      </c>
      <c r="G123" s="5"/>
      <c r="H123" s="37">
        <f t="shared" si="53"/>
        <v>326987.46557068545</v>
      </c>
      <c r="I123" s="5"/>
      <c r="J123" s="37">
        <f t="shared" si="53"/>
        <v>451810.8199170134</v>
      </c>
      <c r="K123" s="5"/>
      <c r="L123" s="37">
        <f t="shared" si="53"/>
        <v>622490.23281653505</v>
      </c>
      <c r="M123" s="19"/>
      <c r="N123" s="14"/>
    </row>
    <row r="124" spans="1:14" x14ac:dyDescent="0.35">
      <c r="A124" s="18" t="s">
        <v>101</v>
      </c>
      <c r="B124" s="37">
        <f>B119</f>
        <v>243400</v>
      </c>
      <c r="C124" s="5"/>
      <c r="D124" s="37">
        <f t="shared" ref="D124:L124" si="54">D119</f>
        <v>21411.460309999995</v>
      </c>
      <c r="E124" s="5"/>
      <c r="F124" s="37">
        <f t="shared" si="54"/>
        <v>62176.005260685459</v>
      </c>
      <c r="G124" s="5"/>
      <c r="H124" s="37">
        <f t="shared" si="54"/>
        <v>124823.35434632795</v>
      </c>
      <c r="I124" s="5"/>
      <c r="J124" s="37">
        <f t="shared" si="54"/>
        <v>170679.41289952165</v>
      </c>
      <c r="K124" s="5"/>
      <c r="L124" s="37">
        <f t="shared" si="54"/>
        <v>233351.08518867753</v>
      </c>
      <c r="M124" s="19"/>
      <c r="N124" s="14"/>
    </row>
    <row r="125" spans="1:14" ht="15" thickBot="1" x14ac:dyDescent="0.4">
      <c r="A125" s="20" t="s">
        <v>102</v>
      </c>
      <c r="B125" s="38">
        <f>B123+B124</f>
        <v>243400</v>
      </c>
      <c r="C125" s="21"/>
      <c r="D125" s="38">
        <f t="shared" ref="D125:L125" si="55">D123+D124</f>
        <v>264811.46030999999</v>
      </c>
      <c r="E125" s="21"/>
      <c r="F125" s="38">
        <f t="shared" si="55"/>
        <v>326987.46557068545</v>
      </c>
      <c r="G125" s="21"/>
      <c r="H125" s="38">
        <f t="shared" si="55"/>
        <v>451810.8199170134</v>
      </c>
      <c r="I125" s="21"/>
      <c r="J125" s="38">
        <f t="shared" si="55"/>
        <v>622490.23281653505</v>
      </c>
      <c r="K125" s="21"/>
      <c r="L125" s="38">
        <f t="shared" si="55"/>
        <v>855841.31800521258</v>
      </c>
      <c r="M125" s="22"/>
      <c r="N125" s="14"/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scale="39" fitToHeight="2" orientation="landscape" horizontalDpi="200" verticalDpi="200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85" activePane="bottomLeft" state="frozen"/>
      <selection pane="bottomLeft" activeCell="A53" sqref="A53:A54"/>
    </sheetView>
  </sheetViews>
  <sheetFormatPr defaultColWidth="8.7265625" defaultRowHeight="14.5" x14ac:dyDescent="0.35"/>
  <cols>
    <col min="1" max="1" width="59.453125" customWidth="1"/>
    <col min="2" max="14" width="10.7265625" customWidth="1"/>
  </cols>
  <sheetData>
    <row r="1" spans="1:14" ht="26" x14ac:dyDescent="0.6">
      <c r="A1" s="79" t="s">
        <v>103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x14ac:dyDescent="0.35">
      <c r="A2" s="5" t="str">
        <f>'5yr Budget Projection'!A2</f>
        <v xml:space="preserve">School Name: Tapestry Public Charter School Clayton </v>
      </c>
      <c r="B2" s="6" t="s">
        <v>104</v>
      </c>
      <c r="C2" s="6" t="s">
        <v>105</v>
      </c>
      <c r="D2" s="6" t="s">
        <v>106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  <c r="J2" s="6" t="s">
        <v>112</v>
      </c>
      <c r="K2" s="6" t="s">
        <v>113</v>
      </c>
      <c r="L2" s="6" t="s">
        <v>114</v>
      </c>
      <c r="M2" s="6" t="s">
        <v>115</v>
      </c>
      <c r="N2" s="6" t="s">
        <v>116</v>
      </c>
    </row>
    <row r="3" spans="1:14" x14ac:dyDescent="0.35">
      <c r="A3" s="7" t="s">
        <v>117</v>
      </c>
      <c r="B3" s="50">
        <f>'5yr Budget Projection'!B123</f>
        <v>0</v>
      </c>
      <c r="C3" s="50">
        <f>B105</f>
        <v>20283.330000000002</v>
      </c>
      <c r="D3" s="50">
        <f t="shared" ref="D3:M3" si="0">C105</f>
        <v>40566.660000000003</v>
      </c>
      <c r="E3" s="50">
        <f t="shared" si="0"/>
        <v>60849.99</v>
      </c>
      <c r="F3" s="50">
        <f t="shared" si="0"/>
        <v>81133.320000000007</v>
      </c>
      <c r="G3" s="50">
        <f t="shared" si="0"/>
        <v>101416.65</v>
      </c>
      <c r="H3" s="50">
        <f t="shared" si="0"/>
        <v>121699.98</v>
      </c>
      <c r="I3" s="50">
        <f t="shared" si="0"/>
        <v>141983.31</v>
      </c>
      <c r="J3" s="50">
        <f t="shared" si="0"/>
        <v>162266.64000000001</v>
      </c>
      <c r="K3" s="50">
        <f t="shared" si="0"/>
        <v>182549.97</v>
      </c>
      <c r="L3" s="50">
        <f t="shared" si="0"/>
        <v>202833.3</v>
      </c>
      <c r="M3" s="50">
        <f t="shared" si="0"/>
        <v>223116.63</v>
      </c>
      <c r="N3" s="50"/>
    </row>
    <row r="4" spans="1:14" ht="26" x14ac:dyDescent="0.6">
      <c r="A4" s="49" t="s">
        <v>118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" t="s">
        <v>119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 x14ac:dyDescent="0.35">
      <c r="A6" s="8" t="s">
        <v>134</v>
      </c>
      <c r="B6" s="32">
        <f>'5yr Budget Projection'!B23/12</f>
        <v>0</v>
      </c>
      <c r="C6" s="32">
        <f>B6</f>
        <v>0</v>
      </c>
      <c r="D6" s="32">
        <f t="shared" ref="D6:M6" si="2">C6</f>
        <v>0</v>
      </c>
      <c r="E6" s="32">
        <f t="shared" si="2"/>
        <v>0</v>
      </c>
      <c r="F6" s="32">
        <f t="shared" si="2"/>
        <v>0</v>
      </c>
      <c r="G6" s="32">
        <f t="shared" si="2"/>
        <v>0</v>
      </c>
      <c r="H6" s="32">
        <f t="shared" si="2"/>
        <v>0</v>
      </c>
      <c r="I6" s="32">
        <f t="shared" si="2"/>
        <v>0</v>
      </c>
      <c r="J6" s="32">
        <f t="shared" si="2"/>
        <v>0</v>
      </c>
      <c r="K6" s="32">
        <f t="shared" si="2"/>
        <v>0</v>
      </c>
      <c r="L6" s="32">
        <f t="shared" si="2"/>
        <v>0</v>
      </c>
      <c r="M6" s="32">
        <f t="shared" si="2"/>
        <v>0</v>
      </c>
      <c r="N6" s="31">
        <f>SUM(B6:M6)</f>
        <v>0</v>
      </c>
    </row>
    <row r="7" spans="1:14" x14ac:dyDescent="0.35">
      <c r="A7" s="8" t="s">
        <v>135</v>
      </c>
      <c r="B7" s="32">
        <f>'5yr Budget Projection'!B24/12</f>
        <v>18750</v>
      </c>
      <c r="C7" s="32">
        <f>B7</f>
        <v>18750</v>
      </c>
      <c r="D7" s="32">
        <f t="shared" ref="D7:M7" si="3">C7</f>
        <v>18750</v>
      </c>
      <c r="E7" s="32">
        <f t="shared" si="3"/>
        <v>18750</v>
      </c>
      <c r="F7" s="32">
        <f t="shared" si="3"/>
        <v>18750</v>
      </c>
      <c r="G7" s="32">
        <f t="shared" si="3"/>
        <v>18750</v>
      </c>
      <c r="H7" s="32">
        <f t="shared" si="3"/>
        <v>18750</v>
      </c>
      <c r="I7" s="32">
        <f t="shared" si="3"/>
        <v>18750</v>
      </c>
      <c r="J7" s="32">
        <f t="shared" si="3"/>
        <v>18750</v>
      </c>
      <c r="K7" s="32">
        <f t="shared" si="3"/>
        <v>18750</v>
      </c>
      <c r="L7" s="32">
        <f t="shared" si="3"/>
        <v>18750</v>
      </c>
      <c r="M7" s="32">
        <f t="shared" si="3"/>
        <v>18750</v>
      </c>
      <c r="N7" s="31">
        <f t="shared" ref="N7:N14" si="4">SUM(B7:M7)</f>
        <v>225000</v>
      </c>
    </row>
    <row r="8" spans="1:14" x14ac:dyDescent="0.35">
      <c r="A8" s="8" t="s">
        <v>138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4"/>
        <v>0</v>
      </c>
    </row>
    <row r="9" spans="1:14" x14ac:dyDescent="0.35">
      <c r="A9" s="8" t="s">
        <v>213</v>
      </c>
      <c r="B9" s="32">
        <f>'5yr Budget Projection'!B25/12</f>
        <v>25000</v>
      </c>
      <c r="C9" s="32">
        <f t="shared" ref="C9:M9" si="5">B9</f>
        <v>25000</v>
      </c>
      <c r="D9" s="32">
        <f t="shared" si="5"/>
        <v>25000</v>
      </c>
      <c r="E9" s="32">
        <f t="shared" si="5"/>
        <v>25000</v>
      </c>
      <c r="F9" s="32">
        <f t="shared" si="5"/>
        <v>25000</v>
      </c>
      <c r="G9" s="32">
        <f t="shared" si="5"/>
        <v>25000</v>
      </c>
      <c r="H9" s="32">
        <f t="shared" si="5"/>
        <v>25000</v>
      </c>
      <c r="I9" s="32">
        <f t="shared" si="5"/>
        <v>25000</v>
      </c>
      <c r="J9" s="32">
        <f t="shared" si="5"/>
        <v>25000</v>
      </c>
      <c r="K9" s="32">
        <f t="shared" si="5"/>
        <v>25000</v>
      </c>
      <c r="L9" s="32">
        <f t="shared" si="5"/>
        <v>25000</v>
      </c>
      <c r="M9" s="32">
        <f t="shared" si="5"/>
        <v>25000</v>
      </c>
      <c r="N9" s="31">
        <f t="shared" si="4"/>
        <v>300000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4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4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4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4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4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120</v>
      </c>
      <c r="B16" s="39">
        <f>ROUND(SUM(B5:B15),2)</f>
        <v>43750</v>
      </c>
      <c r="C16" s="39">
        <f t="shared" ref="C16:M16" si="6">ROUND(SUM(C5:C15),2)</f>
        <v>43750</v>
      </c>
      <c r="D16" s="39">
        <f t="shared" si="6"/>
        <v>43750</v>
      </c>
      <c r="E16" s="39">
        <f t="shared" si="6"/>
        <v>43750</v>
      </c>
      <c r="F16" s="39">
        <f t="shared" si="6"/>
        <v>43750</v>
      </c>
      <c r="G16" s="39">
        <f t="shared" si="6"/>
        <v>43750</v>
      </c>
      <c r="H16" s="39">
        <f t="shared" si="6"/>
        <v>43750</v>
      </c>
      <c r="I16" s="39">
        <f t="shared" si="6"/>
        <v>43750</v>
      </c>
      <c r="J16" s="39">
        <f t="shared" si="6"/>
        <v>43750</v>
      </c>
      <c r="K16" s="39">
        <f t="shared" si="6"/>
        <v>43750</v>
      </c>
      <c r="L16" s="39">
        <f t="shared" si="6"/>
        <v>43750</v>
      </c>
      <c r="M16" s="39">
        <f t="shared" si="6"/>
        <v>43750</v>
      </c>
      <c r="N16" s="39">
        <f t="shared" ref="N16" si="7">SUM(N5:N15)</f>
        <v>525000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56" t="s">
        <v>121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 x14ac:dyDescent="0.35">
      <c r="A19" s="44" t="s">
        <v>29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 x14ac:dyDescent="0.35">
      <c r="A20" s="5" t="s">
        <v>30</v>
      </c>
      <c r="B20" s="53">
        <f>'5yr Budget Projection'!B36/12</f>
        <v>0</v>
      </c>
      <c r="C20" s="53">
        <f>$N20/12</f>
        <v>0</v>
      </c>
      <c r="D20" s="53">
        <f t="shared" ref="D20:M20" si="8">$N20/12</f>
        <v>0</v>
      </c>
      <c r="E20" s="53">
        <f t="shared" si="8"/>
        <v>0</v>
      </c>
      <c r="F20" s="53">
        <f t="shared" si="8"/>
        <v>0</v>
      </c>
      <c r="G20" s="53">
        <f t="shared" si="8"/>
        <v>0</v>
      </c>
      <c r="H20" s="53">
        <f t="shared" si="8"/>
        <v>0</v>
      </c>
      <c r="I20" s="53">
        <f t="shared" si="8"/>
        <v>0</v>
      </c>
      <c r="J20" s="53">
        <f t="shared" si="8"/>
        <v>0</v>
      </c>
      <c r="K20" s="53">
        <f t="shared" si="8"/>
        <v>0</v>
      </c>
      <c r="L20" s="53">
        <f t="shared" si="8"/>
        <v>0</v>
      </c>
      <c r="M20" s="53">
        <f t="shared" si="8"/>
        <v>0</v>
      </c>
      <c r="N20" s="42">
        <f>'5yr Budget Projection'!B36</f>
        <v>0</v>
      </c>
    </row>
    <row r="21" spans="1:14" x14ac:dyDescent="0.35">
      <c r="A21" s="5" t="s">
        <v>31</v>
      </c>
      <c r="B21" s="32">
        <f>'5yr Budget Projection'!B37/12</f>
        <v>0</v>
      </c>
      <c r="C21" s="32">
        <f t="shared" ref="C21:M36" si="9">$N21/12</f>
        <v>0</v>
      </c>
      <c r="D21" s="32">
        <f t="shared" si="9"/>
        <v>0</v>
      </c>
      <c r="E21" s="32">
        <f t="shared" si="9"/>
        <v>0</v>
      </c>
      <c r="F21" s="32">
        <f t="shared" si="9"/>
        <v>0</v>
      </c>
      <c r="G21" s="32">
        <f t="shared" si="9"/>
        <v>0</v>
      </c>
      <c r="H21" s="32">
        <f t="shared" si="9"/>
        <v>0</v>
      </c>
      <c r="I21" s="32">
        <f t="shared" si="9"/>
        <v>0</v>
      </c>
      <c r="J21" s="32">
        <f t="shared" si="9"/>
        <v>0</v>
      </c>
      <c r="K21" s="32">
        <f t="shared" si="9"/>
        <v>0</v>
      </c>
      <c r="L21" s="32">
        <f t="shared" si="9"/>
        <v>0</v>
      </c>
      <c r="M21" s="32">
        <f t="shared" si="9"/>
        <v>0</v>
      </c>
      <c r="N21" s="31">
        <f>'5yr Budget Projection'!B37</f>
        <v>0</v>
      </c>
    </row>
    <row r="22" spans="1:14" x14ac:dyDescent="0.35">
      <c r="A22" s="5" t="s">
        <v>32</v>
      </c>
      <c r="B22" s="32">
        <f>'5yr Budget Projection'!B38/12</f>
        <v>0</v>
      </c>
      <c r="C22" s="32">
        <f t="shared" si="9"/>
        <v>0</v>
      </c>
      <c r="D22" s="32">
        <f t="shared" si="9"/>
        <v>0</v>
      </c>
      <c r="E22" s="32">
        <f t="shared" si="9"/>
        <v>0</v>
      </c>
      <c r="F22" s="32">
        <f t="shared" si="9"/>
        <v>0</v>
      </c>
      <c r="G22" s="32">
        <f t="shared" si="9"/>
        <v>0</v>
      </c>
      <c r="H22" s="32">
        <f t="shared" si="9"/>
        <v>0</v>
      </c>
      <c r="I22" s="32">
        <f t="shared" si="9"/>
        <v>0</v>
      </c>
      <c r="J22" s="32">
        <f t="shared" si="9"/>
        <v>0</v>
      </c>
      <c r="K22" s="32">
        <f t="shared" si="9"/>
        <v>0</v>
      </c>
      <c r="L22" s="32">
        <f t="shared" si="9"/>
        <v>0</v>
      </c>
      <c r="M22" s="32">
        <f t="shared" si="9"/>
        <v>0</v>
      </c>
      <c r="N22" s="31">
        <f>'5yr Budget Projection'!B38</f>
        <v>0</v>
      </c>
    </row>
    <row r="23" spans="1:14" x14ac:dyDescent="0.35">
      <c r="A23" s="5" t="s">
        <v>33</v>
      </c>
      <c r="B23" s="32">
        <f>'5yr Budget Projection'!B39/12</f>
        <v>0</v>
      </c>
      <c r="C23" s="32">
        <f t="shared" si="9"/>
        <v>0</v>
      </c>
      <c r="D23" s="32">
        <f t="shared" si="9"/>
        <v>0</v>
      </c>
      <c r="E23" s="32">
        <f t="shared" si="9"/>
        <v>0</v>
      </c>
      <c r="F23" s="32">
        <f t="shared" si="9"/>
        <v>0</v>
      </c>
      <c r="G23" s="32">
        <f t="shared" si="9"/>
        <v>0</v>
      </c>
      <c r="H23" s="32">
        <f t="shared" si="9"/>
        <v>0</v>
      </c>
      <c r="I23" s="32">
        <f t="shared" si="9"/>
        <v>0</v>
      </c>
      <c r="J23" s="32">
        <f t="shared" si="9"/>
        <v>0</v>
      </c>
      <c r="K23" s="32">
        <f t="shared" si="9"/>
        <v>0</v>
      </c>
      <c r="L23" s="32">
        <f t="shared" si="9"/>
        <v>0</v>
      </c>
      <c r="M23" s="32">
        <f t="shared" si="9"/>
        <v>0</v>
      </c>
      <c r="N23" s="31">
        <f>'5yr Budget Projection'!B39</f>
        <v>0</v>
      </c>
    </row>
    <row r="24" spans="1:14" x14ac:dyDescent="0.35">
      <c r="A24" s="5" t="s">
        <v>34</v>
      </c>
      <c r="B24" s="32">
        <f>'5yr Budget Projection'!B40/12</f>
        <v>0</v>
      </c>
      <c r="C24" s="32">
        <f t="shared" si="9"/>
        <v>0</v>
      </c>
      <c r="D24" s="32">
        <f t="shared" si="9"/>
        <v>0</v>
      </c>
      <c r="E24" s="32">
        <f t="shared" si="9"/>
        <v>0</v>
      </c>
      <c r="F24" s="32">
        <f t="shared" si="9"/>
        <v>0</v>
      </c>
      <c r="G24" s="32">
        <f t="shared" si="9"/>
        <v>0</v>
      </c>
      <c r="H24" s="32">
        <f t="shared" si="9"/>
        <v>0</v>
      </c>
      <c r="I24" s="32">
        <f t="shared" si="9"/>
        <v>0</v>
      </c>
      <c r="J24" s="32">
        <f t="shared" si="9"/>
        <v>0</v>
      </c>
      <c r="K24" s="32">
        <f t="shared" si="9"/>
        <v>0</v>
      </c>
      <c r="L24" s="32">
        <f t="shared" si="9"/>
        <v>0</v>
      </c>
      <c r="M24" s="32">
        <f t="shared" si="9"/>
        <v>0</v>
      </c>
      <c r="N24" s="31">
        <f>'5yr Budget Projection'!B40</f>
        <v>0</v>
      </c>
    </row>
    <row r="25" spans="1:14" x14ac:dyDescent="0.35">
      <c r="A25" s="5" t="s">
        <v>35</v>
      </c>
      <c r="B25" s="32">
        <f>'5yr Budget Projection'!B41/12</f>
        <v>0</v>
      </c>
      <c r="C25" s="32">
        <f t="shared" si="9"/>
        <v>0</v>
      </c>
      <c r="D25" s="32">
        <f t="shared" si="9"/>
        <v>0</v>
      </c>
      <c r="E25" s="32">
        <f t="shared" si="9"/>
        <v>0</v>
      </c>
      <c r="F25" s="32">
        <f t="shared" si="9"/>
        <v>0</v>
      </c>
      <c r="G25" s="32">
        <f t="shared" si="9"/>
        <v>0</v>
      </c>
      <c r="H25" s="32">
        <f t="shared" si="9"/>
        <v>0</v>
      </c>
      <c r="I25" s="32">
        <f t="shared" si="9"/>
        <v>0</v>
      </c>
      <c r="J25" s="32">
        <f t="shared" si="9"/>
        <v>0</v>
      </c>
      <c r="K25" s="32">
        <f t="shared" si="9"/>
        <v>0</v>
      </c>
      <c r="L25" s="32">
        <f t="shared" si="9"/>
        <v>0</v>
      </c>
      <c r="M25" s="32">
        <f t="shared" si="9"/>
        <v>0</v>
      </c>
      <c r="N25" s="31">
        <f>'5yr Budget Projection'!B41</f>
        <v>0</v>
      </c>
    </row>
    <row r="26" spans="1:14" x14ac:dyDescent="0.35">
      <c r="A26" s="5" t="s">
        <v>36</v>
      </c>
      <c r="B26" s="32">
        <f>'5yr Budget Projection'!B42/12</f>
        <v>0</v>
      </c>
      <c r="C26" s="32">
        <f t="shared" si="9"/>
        <v>0</v>
      </c>
      <c r="D26" s="32">
        <f t="shared" si="9"/>
        <v>0</v>
      </c>
      <c r="E26" s="32">
        <f t="shared" si="9"/>
        <v>0</v>
      </c>
      <c r="F26" s="32">
        <f t="shared" si="9"/>
        <v>0</v>
      </c>
      <c r="G26" s="32">
        <f t="shared" si="9"/>
        <v>0</v>
      </c>
      <c r="H26" s="32">
        <f t="shared" si="9"/>
        <v>0</v>
      </c>
      <c r="I26" s="32">
        <f t="shared" si="9"/>
        <v>0</v>
      </c>
      <c r="J26" s="32">
        <f t="shared" si="9"/>
        <v>0</v>
      </c>
      <c r="K26" s="32">
        <f t="shared" si="9"/>
        <v>0</v>
      </c>
      <c r="L26" s="32">
        <f t="shared" si="9"/>
        <v>0</v>
      </c>
      <c r="M26" s="32">
        <f t="shared" si="9"/>
        <v>0</v>
      </c>
      <c r="N26" s="31">
        <f>'5yr Budget Projection'!B42</f>
        <v>0</v>
      </c>
    </row>
    <row r="27" spans="1:14" x14ac:dyDescent="0.35">
      <c r="A27" s="5" t="s">
        <v>37</v>
      </c>
      <c r="B27" s="32">
        <f>'5yr Budget Projection'!B43/12</f>
        <v>0</v>
      </c>
      <c r="C27" s="32">
        <f t="shared" si="9"/>
        <v>0</v>
      </c>
      <c r="D27" s="32">
        <f t="shared" si="9"/>
        <v>0</v>
      </c>
      <c r="E27" s="32">
        <f t="shared" si="9"/>
        <v>0</v>
      </c>
      <c r="F27" s="32">
        <f t="shared" si="9"/>
        <v>0</v>
      </c>
      <c r="G27" s="32">
        <f t="shared" si="9"/>
        <v>0</v>
      </c>
      <c r="H27" s="32">
        <f t="shared" si="9"/>
        <v>0</v>
      </c>
      <c r="I27" s="32">
        <f t="shared" si="9"/>
        <v>0</v>
      </c>
      <c r="J27" s="32">
        <f t="shared" si="9"/>
        <v>0</v>
      </c>
      <c r="K27" s="32">
        <f t="shared" si="9"/>
        <v>0</v>
      </c>
      <c r="L27" s="32">
        <f t="shared" si="9"/>
        <v>0</v>
      </c>
      <c r="M27" s="32">
        <f t="shared" si="9"/>
        <v>0</v>
      </c>
      <c r="N27" s="31">
        <f>'5yr Budget Projection'!B43</f>
        <v>0</v>
      </c>
    </row>
    <row r="28" spans="1:14" x14ac:dyDescent="0.35">
      <c r="A28" s="5" t="s">
        <v>38</v>
      </c>
      <c r="B28" s="32">
        <f>'5yr Budget Projection'!B44/12</f>
        <v>0</v>
      </c>
      <c r="C28" s="32">
        <f t="shared" si="9"/>
        <v>0</v>
      </c>
      <c r="D28" s="32">
        <f t="shared" si="9"/>
        <v>0</v>
      </c>
      <c r="E28" s="32">
        <f t="shared" si="9"/>
        <v>0</v>
      </c>
      <c r="F28" s="32">
        <f t="shared" si="9"/>
        <v>0</v>
      </c>
      <c r="G28" s="32">
        <f t="shared" si="9"/>
        <v>0</v>
      </c>
      <c r="H28" s="32">
        <f t="shared" si="9"/>
        <v>0</v>
      </c>
      <c r="I28" s="32">
        <f t="shared" si="9"/>
        <v>0</v>
      </c>
      <c r="J28" s="32">
        <f t="shared" si="9"/>
        <v>0</v>
      </c>
      <c r="K28" s="32">
        <f t="shared" si="9"/>
        <v>0</v>
      </c>
      <c r="L28" s="32">
        <f t="shared" si="9"/>
        <v>0</v>
      </c>
      <c r="M28" s="32">
        <f t="shared" si="9"/>
        <v>0</v>
      </c>
      <c r="N28" s="31">
        <f>'5yr Budget Projection'!B44</f>
        <v>0</v>
      </c>
    </row>
    <row r="29" spans="1:14" x14ac:dyDescent="0.35">
      <c r="A29" s="5" t="s">
        <v>39</v>
      </c>
      <c r="B29" s="32">
        <f>'5yr Budget Projection'!B45/12</f>
        <v>0</v>
      </c>
      <c r="C29" s="32">
        <f t="shared" si="9"/>
        <v>0</v>
      </c>
      <c r="D29" s="32">
        <f t="shared" si="9"/>
        <v>0</v>
      </c>
      <c r="E29" s="32">
        <f t="shared" si="9"/>
        <v>0</v>
      </c>
      <c r="F29" s="32">
        <f t="shared" si="9"/>
        <v>0</v>
      </c>
      <c r="G29" s="32">
        <f t="shared" si="9"/>
        <v>0</v>
      </c>
      <c r="H29" s="32">
        <f t="shared" si="9"/>
        <v>0</v>
      </c>
      <c r="I29" s="32">
        <f t="shared" si="9"/>
        <v>0</v>
      </c>
      <c r="J29" s="32">
        <f t="shared" si="9"/>
        <v>0</v>
      </c>
      <c r="K29" s="32">
        <f t="shared" si="9"/>
        <v>0</v>
      </c>
      <c r="L29" s="32">
        <f t="shared" si="9"/>
        <v>0</v>
      </c>
      <c r="M29" s="32">
        <f t="shared" si="9"/>
        <v>0</v>
      </c>
      <c r="N29" s="31">
        <f>'5yr Budget Projection'!B45</f>
        <v>0</v>
      </c>
    </row>
    <row r="30" spans="1:14" x14ac:dyDescent="0.35">
      <c r="A30" s="5" t="s">
        <v>40</v>
      </c>
      <c r="B30" s="32">
        <f>'5yr Budget Projection'!B46/12</f>
        <v>0</v>
      </c>
      <c r="C30" s="32">
        <f t="shared" si="9"/>
        <v>0</v>
      </c>
      <c r="D30" s="32">
        <f t="shared" si="9"/>
        <v>0</v>
      </c>
      <c r="E30" s="32">
        <f t="shared" si="9"/>
        <v>0</v>
      </c>
      <c r="F30" s="32">
        <f t="shared" si="9"/>
        <v>0</v>
      </c>
      <c r="G30" s="32">
        <f t="shared" si="9"/>
        <v>0</v>
      </c>
      <c r="H30" s="32">
        <f t="shared" si="9"/>
        <v>0</v>
      </c>
      <c r="I30" s="32">
        <f t="shared" si="9"/>
        <v>0</v>
      </c>
      <c r="J30" s="32">
        <f t="shared" si="9"/>
        <v>0</v>
      </c>
      <c r="K30" s="32">
        <f t="shared" si="9"/>
        <v>0</v>
      </c>
      <c r="L30" s="32">
        <f t="shared" si="9"/>
        <v>0</v>
      </c>
      <c r="M30" s="32">
        <f t="shared" si="9"/>
        <v>0</v>
      </c>
      <c r="N30" s="31">
        <f>'5yr Budget Projection'!B46</f>
        <v>0</v>
      </c>
    </row>
    <row r="31" spans="1:14" x14ac:dyDescent="0.35">
      <c r="A31" s="5" t="s">
        <v>41</v>
      </c>
      <c r="B31" s="32">
        <f>'5yr Budget Projection'!B47/12</f>
        <v>0</v>
      </c>
      <c r="C31" s="32">
        <f t="shared" si="9"/>
        <v>0</v>
      </c>
      <c r="D31" s="32">
        <f t="shared" si="9"/>
        <v>0</v>
      </c>
      <c r="E31" s="32">
        <f t="shared" si="9"/>
        <v>0</v>
      </c>
      <c r="F31" s="32">
        <f t="shared" si="9"/>
        <v>0</v>
      </c>
      <c r="G31" s="32">
        <f t="shared" si="9"/>
        <v>0</v>
      </c>
      <c r="H31" s="32">
        <f t="shared" si="9"/>
        <v>0</v>
      </c>
      <c r="I31" s="32">
        <f t="shared" si="9"/>
        <v>0</v>
      </c>
      <c r="J31" s="32">
        <f t="shared" si="9"/>
        <v>0</v>
      </c>
      <c r="K31" s="32">
        <f t="shared" si="9"/>
        <v>0</v>
      </c>
      <c r="L31" s="32">
        <f t="shared" si="9"/>
        <v>0</v>
      </c>
      <c r="M31" s="32">
        <f t="shared" si="9"/>
        <v>0</v>
      </c>
      <c r="N31" s="31">
        <f>'5yr Budget Projection'!B47</f>
        <v>0</v>
      </c>
    </row>
    <row r="32" spans="1:14" x14ac:dyDescent="0.35">
      <c r="A32" s="5" t="s">
        <v>42</v>
      </c>
      <c r="B32" s="32">
        <f>'5yr Budget Projection'!B48/12</f>
        <v>0</v>
      </c>
      <c r="C32" s="32">
        <f t="shared" si="9"/>
        <v>0</v>
      </c>
      <c r="D32" s="32">
        <f t="shared" si="9"/>
        <v>0</v>
      </c>
      <c r="E32" s="32">
        <f t="shared" si="9"/>
        <v>0</v>
      </c>
      <c r="F32" s="32">
        <f t="shared" si="9"/>
        <v>0</v>
      </c>
      <c r="G32" s="32">
        <f t="shared" si="9"/>
        <v>0</v>
      </c>
      <c r="H32" s="32">
        <f t="shared" si="9"/>
        <v>0</v>
      </c>
      <c r="I32" s="32">
        <f t="shared" si="9"/>
        <v>0</v>
      </c>
      <c r="J32" s="32">
        <f t="shared" si="9"/>
        <v>0</v>
      </c>
      <c r="K32" s="32">
        <f t="shared" si="9"/>
        <v>0</v>
      </c>
      <c r="L32" s="32">
        <f t="shared" si="9"/>
        <v>0</v>
      </c>
      <c r="M32" s="32">
        <f t="shared" si="9"/>
        <v>0</v>
      </c>
      <c r="N32" s="31">
        <f>'5yr Budget Projection'!B48</f>
        <v>0</v>
      </c>
    </row>
    <row r="33" spans="1:14" x14ac:dyDescent="0.35">
      <c r="A33" s="5" t="s">
        <v>43</v>
      </c>
      <c r="B33" s="32">
        <f>'5yr Budget Projection'!B49/12</f>
        <v>0</v>
      </c>
      <c r="C33" s="32">
        <f t="shared" si="9"/>
        <v>0</v>
      </c>
      <c r="D33" s="32">
        <f t="shared" si="9"/>
        <v>0</v>
      </c>
      <c r="E33" s="32">
        <f t="shared" si="9"/>
        <v>0</v>
      </c>
      <c r="F33" s="32">
        <f t="shared" si="9"/>
        <v>0</v>
      </c>
      <c r="G33" s="32">
        <f t="shared" si="9"/>
        <v>0</v>
      </c>
      <c r="H33" s="32">
        <f t="shared" si="9"/>
        <v>0</v>
      </c>
      <c r="I33" s="32">
        <f t="shared" si="9"/>
        <v>0</v>
      </c>
      <c r="J33" s="32">
        <f t="shared" si="9"/>
        <v>0</v>
      </c>
      <c r="K33" s="32">
        <f t="shared" si="9"/>
        <v>0</v>
      </c>
      <c r="L33" s="32">
        <f t="shared" si="9"/>
        <v>0</v>
      </c>
      <c r="M33" s="32">
        <f t="shared" si="9"/>
        <v>0</v>
      </c>
      <c r="N33" s="31">
        <f>'5yr Budget Projection'!B49</f>
        <v>0</v>
      </c>
    </row>
    <row r="34" spans="1:14" x14ac:dyDescent="0.35">
      <c r="A34" s="5" t="s">
        <v>44</v>
      </c>
      <c r="B34" s="32">
        <f>'5yr Budget Projection'!B50/12</f>
        <v>0</v>
      </c>
      <c r="C34" s="32">
        <f t="shared" si="9"/>
        <v>0</v>
      </c>
      <c r="D34" s="32">
        <f t="shared" si="9"/>
        <v>0</v>
      </c>
      <c r="E34" s="32">
        <f t="shared" si="9"/>
        <v>0</v>
      </c>
      <c r="F34" s="32">
        <f t="shared" si="9"/>
        <v>0</v>
      </c>
      <c r="G34" s="32">
        <f t="shared" si="9"/>
        <v>0</v>
      </c>
      <c r="H34" s="32">
        <f t="shared" si="9"/>
        <v>0</v>
      </c>
      <c r="I34" s="32">
        <f t="shared" si="9"/>
        <v>0</v>
      </c>
      <c r="J34" s="32">
        <f t="shared" si="9"/>
        <v>0</v>
      </c>
      <c r="K34" s="32">
        <f t="shared" si="9"/>
        <v>0</v>
      </c>
      <c r="L34" s="32">
        <f t="shared" si="9"/>
        <v>0</v>
      </c>
      <c r="M34" s="32">
        <f t="shared" si="9"/>
        <v>0</v>
      </c>
      <c r="N34" s="31">
        <f>'5yr Budget Projection'!B50</f>
        <v>0</v>
      </c>
    </row>
    <row r="35" spans="1:14" x14ac:dyDescent="0.35">
      <c r="A35" s="5" t="s">
        <v>45</v>
      </c>
      <c r="B35" s="32">
        <f>'5yr Budget Projection'!B51/12</f>
        <v>0</v>
      </c>
      <c r="C35" s="32">
        <f t="shared" si="9"/>
        <v>0</v>
      </c>
      <c r="D35" s="32">
        <f t="shared" si="9"/>
        <v>0</v>
      </c>
      <c r="E35" s="32">
        <f t="shared" si="9"/>
        <v>0</v>
      </c>
      <c r="F35" s="32">
        <f t="shared" si="9"/>
        <v>0</v>
      </c>
      <c r="G35" s="32">
        <f t="shared" si="9"/>
        <v>0</v>
      </c>
      <c r="H35" s="32">
        <f t="shared" si="9"/>
        <v>0</v>
      </c>
      <c r="I35" s="32">
        <f t="shared" si="9"/>
        <v>0</v>
      </c>
      <c r="J35" s="32">
        <f t="shared" si="9"/>
        <v>0</v>
      </c>
      <c r="K35" s="32">
        <f t="shared" si="9"/>
        <v>0</v>
      </c>
      <c r="L35" s="32">
        <f t="shared" si="9"/>
        <v>0</v>
      </c>
      <c r="M35" s="32">
        <f t="shared" si="9"/>
        <v>0</v>
      </c>
      <c r="N35" s="31">
        <f>'5yr Budget Projection'!B51</f>
        <v>0</v>
      </c>
    </row>
    <row r="36" spans="1:14" x14ac:dyDescent="0.35">
      <c r="A36" s="5" t="s">
        <v>46</v>
      </c>
      <c r="B36" s="32">
        <f>'5yr Budget Projection'!B52/12</f>
        <v>0</v>
      </c>
      <c r="C36" s="32">
        <f t="shared" si="9"/>
        <v>0</v>
      </c>
      <c r="D36" s="32">
        <f t="shared" si="9"/>
        <v>0</v>
      </c>
      <c r="E36" s="32">
        <f t="shared" si="9"/>
        <v>0</v>
      </c>
      <c r="F36" s="32">
        <f t="shared" si="9"/>
        <v>0</v>
      </c>
      <c r="G36" s="32">
        <f t="shared" si="9"/>
        <v>0</v>
      </c>
      <c r="H36" s="32">
        <f t="shared" si="9"/>
        <v>0</v>
      </c>
      <c r="I36" s="32">
        <f t="shared" si="9"/>
        <v>0</v>
      </c>
      <c r="J36" s="32">
        <f t="shared" si="9"/>
        <v>0</v>
      </c>
      <c r="K36" s="32">
        <f t="shared" si="9"/>
        <v>0</v>
      </c>
      <c r="L36" s="32">
        <f t="shared" si="9"/>
        <v>0</v>
      </c>
      <c r="M36" s="32">
        <f t="shared" si="9"/>
        <v>0</v>
      </c>
      <c r="N36" s="31">
        <f>'5yr Budget Projection'!B52</f>
        <v>0</v>
      </c>
    </row>
    <row r="37" spans="1:14" x14ac:dyDescent="0.35">
      <c r="A37" s="8" t="str">
        <f>'5yr Budget Projection'!A53</f>
        <v>CEO &amp; COO</v>
      </c>
      <c r="B37" s="32">
        <f>'5yr Budget Projection'!B53/12</f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1">
        <f>SUM(B37:M37)</f>
        <v>0</v>
      </c>
    </row>
    <row r="38" spans="1:14" x14ac:dyDescent="0.35">
      <c r="A38" s="8" t="str">
        <f>'5yr Budget Projection'!A54</f>
        <v>Assistant Principle</v>
      </c>
      <c r="B38" s="32">
        <f>'5yr Budget Projection'!B54/12</f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1">
        <f>SUM(B38:M38)</f>
        <v>0</v>
      </c>
    </row>
    <row r="39" spans="1:14" x14ac:dyDescent="0.35">
      <c r="A39" s="7" t="s">
        <v>47</v>
      </c>
      <c r="B39" s="39">
        <f t="shared" ref="B39:N39" si="10">SUM(B20:B38)</f>
        <v>0</v>
      </c>
      <c r="C39" s="39">
        <f t="shared" si="10"/>
        <v>0</v>
      </c>
      <c r="D39" s="39">
        <f t="shared" si="10"/>
        <v>0</v>
      </c>
      <c r="E39" s="39">
        <f t="shared" si="10"/>
        <v>0</v>
      </c>
      <c r="F39" s="39">
        <f t="shared" si="10"/>
        <v>0</v>
      </c>
      <c r="G39" s="39">
        <f t="shared" si="10"/>
        <v>0</v>
      </c>
      <c r="H39" s="39">
        <f t="shared" si="10"/>
        <v>0</v>
      </c>
      <c r="I39" s="39">
        <f t="shared" si="10"/>
        <v>0</v>
      </c>
      <c r="J39" s="39">
        <f t="shared" si="10"/>
        <v>0</v>
      </c>
      <c r="K39" s="39">
        <f t="shared" si="10"/>
        <v>0</v>
      </c>
      <c r="L39" s="39">
        <f t="shared" si="10"/>
        <v>0</v>
      </c>
      <c r="M39" s="39">
        <f t="shared" si="10"/>
        <v>0</v>
      </c>
      <c r="N39" s="39">
        <f t="shared" si="10"/>
        <v>0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48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49</v>
      </c>
      <c r="B42" s="53">
        <f>'5yr Budget Projection'!B58/12</f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42">
        <f>SUM(B42:M42)</f>
        <v>0</v>
      </c>
    </row>
    <row r="43" spans="1:14" x14ac:dyDescent="0.35">
      <c r="A43" s="5" t="s">
        <v>50</v>
      </c>
      <c r="B43" s="32">
        <f>'5yr Budget Projection'!B59/12</f>
        <v>416.66666666666669</v>
      </c>
      <c r="C43" s="32">
        <f t="shared" ref="C43:C54" si="11">B43</f>
        <v>416.66666666666669</v>
      </c>
      <c r="D43" s="32">
        <f t="shared" ref="D43:D54" si="12">B43</f>
        <v>416.66666666666669</v>
      </c>
      <c r="E43" s="32">
        <f t="shared" ref="E43:E54" si="13">B43</f>
        <v>416.66666666666669</v>
      </c>
      <c r="F43" s="32">
        <f t="shared" ref="F43:F54" si="14">B43</f>
        <v>416.66666666666669</v>
      </c>
      <c r="G43" s="32">
        <f t="shared" ref="G43:G54" si="15">B43</f>
        <v>416.66666666666669</v>
      </c>
      <c r="H43" s="32">
        <f t="shared" ref="H43:H54" si="16">B43</f>
        <v>416.66666666666669</v>
      </c>
      <c r="I43" s="32">
        <f t="shared" ref="I43:I54" si="17">B43</f>
        <v>416.66666666666669</v>
      </c>
      <c r="J43" s="32">
        <f t="shared" ref="J43:J54" si="18">B43</f>
        <v>416.66666666666669</v>
      </c>
      <c r="K43" s="32">
        <f t="shared" ref="K43:K54" si="19">B43</f>
        <v>416.66666666666669</v>
      </c>
      <c r="L43" s="32">
        <f t="shared" ref="L43:L54" si="20">B43</f>
        <v>416.66666666666669</v>
      </c>
      <c r="M43" s="32">
        <f t="shared" ref="M43:M54" si="21">B43</f>
        <v>416.66666666666669</v>
      </c>
      <c r="N43" s="31">
        <f t="shared" ref="N43:N54" si="22">SUM(B43:M43)</f>
        <v>5000</v>
      </c>
    </row>
    <row r="44" spans="1:14" x14ac:dyDescent="0.35">
      <c r="A44" s="5" t="s">
        <v>51</v>
      </c>
      <c r="B44" s="32">
        <f>'5yr Budget Projection'!B60/12</f>
        <v>2291.6666666666665</v>
      </c>
      <c r="C44" s="32">
        <f t="shared" si="11"/>
        <v>2291.6666666666665</v>
      </c>
      <c r="D44" s="32">
        <f t="shared" si="12"/>
        <v>2291.6666666666665</v>
      </c>
      <c r="E44" s="32">
        <f t="shared" si="13"/>
        <v>2291.6666666666665</v>
      </c>
      <c r="F44" s="32">
        <f t="shared" si="14"/>
        <v>2291.6666666666665</v>
      </c>
      <c r="G44" s="32">
        <f t="shared" si="15"/>
        <v>2291.6666666666665</v>
      </c>
      <c r="H44" s="32">
        <f t="shared" si="16"/>
        <v>2291.6666666666665</v>
      </c>
      <c r="I44" s="32">
        <f t="shared" si="17"/>
        <v>2291.6666666666665</v>
      </c>
      <c r="J44" s="32">
        <f t="shared" si="18"/>
        <v>2291.6666666666665</v>
      </c>
      <c r="K44" s="32">
        <f t="shared" si="19"/>
        <v>2291.6666666666665</v>
      </c>
      <c r="L44" s="32">
        <f t="shared" si="20"/>
        <v>2291.6666666666665</v>
      </c>
      <c r="M44" s="32">
        <f t="shared" si="21"/>
        <v>2291.6666666666665</v>
      </c>
      <c r="N44" s="31">
        <f t="shared" si="22"/>
        <v>27500.000000000004</v>
      </c>
    </row>
    <row r="45" spans="1:14" x14ac:dyDescent="0.35">
      <c r="A45" s="5" t="s">
        <v>52</v>
      </c>
      <c r="B45" s="32">
        <f>'5yr Budget Projection'!B61/12</f>
        <v>1250</v>
      </c>
      <c r="C45" s="32">
        <f t="shared" si="11"/>
        <v>1250</v>
      </c>
      <c r="D45" s="32">
        <f t="shared" si="12"/>
        <v>1250</v>
      </c>
      <c r="E45" s="32">
        <f t="shared" si="13"/>
        <v>1250</v>
      </c>
      <c r="F45" s="32">
        <f t="shared" si="14"/>
        <v>1250</v>
      </c>
      <c r="G45" s="32">
        <f t="shared" si="15"/>
        <v>1250</v>
      </c>
      <c r="H45" s="32">
        <f t="shared" si="16"/>
        <v>1250</v>
      </c>
      <c r="I45" s="32">
        <f t="shared" si="17"/>
        <v>1250</v>
      </c>
      <c r="J45" s="32">
        <f t="shared" si="18"/>
        <v>1250</v>
      </c>
      <c r="K45" s="32">
        <f t="shared" si="19"/>
        <v>1250</v>
      </c>
      <c r="L45" s="32">
        <f t="shared" si="20"/>
        <v>1250</v>
      </c>
      <c r="M45" s="32">
        <f t="shared" si="21"/>
        <v>1250</v>
      </c>
      <c r="N45" s="31">
        <f t="shared" si="22"/>
        <v>15000</v>
      </c>
    </row>
    <row r="46" spans="1:14" x14ac:dyDescent="0.35">
      <c r="A46" s="5" t="s">
        <v>53</v>
      </c>
      <c r="B46" s="32">
        <f>'5yr Budget Projection'!B62/12</f>
        <v>0</v>
      </c>
      <c r="C46" s="32">
        <f t="shared" si="11"/>
        <v>0</v>
      </c>
      <c r="D46" s="32">
        <f t="shared" si="12"/>
        <v>0</v>
      </c>
      <c r="E46" s="32">
        <f t="shared" si="13"/>
        <v>0</v>
      </c>
      <c r="F46" s="32">
        <f t="shared" si="14"/>
        <v>0</v>
      </c>
      <c r="G46" s="32">
        <f t="shared" si="15"/>
        <v>0</v>
      </c>
      <c r="H46" s="32">
        <f t="shared" si="16"/>
        <v>0</v>
      </c>
      <c r="I46" s="32">
        <f t="shared" si="17"/>
        <v>0</v>
      </c>
      <c r="J46" s="32">
        <f t="shared" si="18"/>
        <v>0</v>
      </c>
      <c r="K46" s="32">
        <f t="shared" si="19"/>
        <v>0</v>
      </c>
      <c r="L46" s="32">
        <f t="shared" si="20"/>
        <v>0</v>
      </c>
      <c r="M46" s="32">
        <f t="shared" si="21"/>
        <v>0</v>
      </c>
      <c r="N46" s="31">
        <f t="shared" si="22"/>
        <v>0</v>
      </c>
    </row>
    <row r="47" spans="1:14" x14ac:dyDescent="0.35">
      <c r="A47" s="5" t="s">
        <v>54</v>
      </c>
      <c r="B47" s="32">
        <f>'5yr Budget Projection'!B63/12</f>
        <v>3333.3333333333335</v>
      </c>
      <c r="C47" s="32">
        <f t="shared" si="11"/>
        <v>3333.3333333333335</v>
      </c>
      <c r="D47" s="32">
        <f t="shared" si="12"/>
        <v>3333.3333333333335</v>
      </c>
      <c r="E47" s="32">
        <f t="shared" si="13"/>
        <v>3333.3333333333335</v>
      </c>
      <c r="F47" s="32">
        <f t="shared" si="14"/>
        <v>3333.3333333333335</v>
      </c>
      <c r="G47" s="32">
        <f t="shared" si="15"/>
        <v>3333.3333333333335</v>
      </c>
      <c r="H47" s="32">
        <f t="shared" si="16"/>
        <v>3333.3333333333335</v>
      </c>
      <c r="I47" s="32">
        <f t="shared" si="17"/>
        <v>3333.3333333333335</v>
      </c>
      <c r="J47" s="32">
        <f t="shared" si="18"/>
        <v>3333.3333333333335</v>
      </c>
      <c r="K47" s="32">
        <f t="shared" si="19"/>
        <v>3333.3333333333335</v>
      </c>
      <c r="L47" s="32">
        <f t="shared" si="20"/>
        <v>3333.3333333333335</v>
      </c>
      <c r="M47" s="32">
        <f t="shared" si="21"/>
        <v>3333.3333333333335</v>
      </c>
      <c r="N47" s="31">
        <f t="shared" si="22"/>
        <v>40000</v>
      </c>
    </row>
    <row r="48" spans="1:14" x14ac:dyDescent="0.35">
      <c r="A48" s="5" t="s">
        <v>55</v>
      </c>
      <c r="B48" s="32">
        <f>'5yr Budget Projection'!B64/12</f>
        <v>0</v>
      </c>
      <c r="C48" s="32">
        <f t="shared" si="11"/>
        <v>0</v>
      </c>
      <c r="D48" s="32">
        <f t="shared" si="12"/>
        <v>0</v>
      </c>
      <c r="E48" s="32">
        <f t="shared" si="13"/>
        <v>0</v>
      </c>
      <c r="F48" s="32">
        <f t="shared" si="14"/>
        <v>0</v>
      </c>
      <c r="G48" s="32">
        <f t="shared" si="15"/>
        <v>0</v>
      </c>
      <c r="H48" s="32">
        <f t="shared" si="16"/>
        <v>0</v>
      </c>
      <c r="I48" s="32">
        <f t="shared" si="17"/>
        <v>0</v>
      </c>
      <c r="J48" s="32">
        <f t="shared" si="18"/>
        <v>0</v>
      </c>
      <c r="K48" s="32">
        <f t="shared" si="19"/>
        <v>0</v>
      </c>
      <c r="L48" s="32">
        <f t="shared" si="20"/>
        <v>0</v>
      </c>
      <c r="M48" s="32">
        <f t="shared" si="21"/>
        <v>0</v>
      </c>
      <c r="N48" s="31">
        <f t="shared" si="22"/>
        <v>0</v>
      </c>
    </row>
    <row r="49" spans="1:14" x14ac:dyDescent="0.35">
      <c r="A49" s="5" t="s">
        <v>56</v>
      </c>
      <c r="B49" s="32">
        <f>'5yr Budget Projection'!B65/12</f>
        <v>0</v>
      </c>
      <c r="C49" s="32">
        <f t="shared" si="11"/>
        <v>0</v>
      </c>
      <c r="D49" s="32">
        <f t="shared" si="12"/>
        <v>0</v>
      </c>
      <c r="E49" s="32">
        <f t="shared" si="13"/>
        <v>0</v>
      </c>
      <c r="F49" s="32">
        <f t="shared" si="14"/>
        <v>0</v>
      </c>
      <c r="G49" s="32">
        <f t="shared" si="15"/>
        <v>0</v>
      </c>
      <c r="H49" s="32">
        <f t="shared" si="16"/>
        <v>0</v>
      </c>
      <c r="I49" s="32">
        <f t="shared" si="17"/>
        <v>0</v>
      </c>
      <c r="J49" s="32">
        <f t="shared" si="18"/>
        <v>0</v>
      </c>
      <c r="K49" s="32">
        <f t="shared" si="19"/>
        <v>0</v>
      </c>
      <c r="L49" s="32">
        <f t="shared" si="20"/>
        <v>0</v>
      </c>
      <c r="M49" s="32">
        <f t="shared" si="21"/>
        <v>0</v>
      </c>
      <c r="N49" s="31">
        <f t="shared" si="22"/>
        <v>0</v>
      </c>
    </row>
    <row r="50" spans="1:14" x14ac:dyDescent="0.35">
      <c r="A50" s="5" t="s">
        <v>57</v>
      </c>
      <c r="B50" s="32">
        <f>'5yr Budget Projection'!B66/12</f>
        <v>1250</v>
      </c>
      <c r="C50" s="32">
        <f t="shared" si="11"/>
        <v>1250</v>
      </c>
      <c r="D50" s="32">
        <f t="shared" si="12"/>
        <v>1250</v>
      </c>
      <c r="E50" s="32">
        <f t="shared" si="13"/>
        <v>1250</v>
      </c>
      <c r="F50" s="32">
        <f t="shared" si="14"/>
        <v>1250</v>
      </c>
      <c r="G50" s="32">
        <f t="shared" si="15"/>
        <v>1250</v>
      </c>
      <c r="H50" s="32">
        <f t="shared" si="16"/>
        <v>1250</v>
      </c>
      <c r="I50" s="32">
        <f t="shared" si="17"/>
        <v>1250</v>
      </c>
      <c r="J50" s="32">
        <f t="shared" si="18"/>
        <v>1250</v>
      </c>
      <c r="K50" s="32">
        <f t="shared" si="19"/>
        <v>1250</v>
      </c>
      <c r="L50" s="32">
        <f t="shared" si="20"/>
        <v>1250</v>
      </c>
      <c r="M50" s="32">
        <f t="shared" si="21"/>
        <v>1250</v>
      </c>
      <c r="N50" s="31">
        <f t="shared" si="22"/>
        <v>15000</v>
      </c>
    </row>
    <row r="51" spans="1:14" x14ac:dyDescent="0.35">
      <c r="A51" s="5" t="s">
        <v>58</v>
      </c>
      <c r="B51" s="32">
        <v>0</v>
      </c>
      <c r="C51" s="32">
        <f t="shared" si="11"/>
        <v>0</v>
      </c>
      <c r="D51" s="32">
        <f t="shared" si="12"/>
        <v>0</v>
      </c>
      <c r="E51" s="32">
        <f t="shared" si="13"/>
        <v>0</v>
      </c>
      <c r="F51" s="32">
        <f t="shared" si="14"/>
        <v>0</v>
      </c>
      <c r="G51" s="32">
        <f t="shared" si="15"/>
        <v>0</v>
      </c>
      <c r="H51" s="32">
        <f t="shared" si="16"/>
        <v>0</v>
      </c>
      <c r="I51" s="32">
        <f t="shared" si="17"/>
        <v>0</v>
      </c>
      <c r="J51" s="32">
        <f t="shared" si="18"/>
        <v>0</v>
      </c>
      <c r="K51" s="32">
        <f t="shared" si="19"/>
        <v>0</v>
      </c>
      <c r="L51" s="32">
        <f t="shared" si="20"/>
        <v>0</v>
      </c>
      <c r="M51" s="32">
        <f t="shared" si="21"/>
        <v>0</v>
      </c>
      <c r="N51" s="31">
        <f t="shared" si="22"/>
        <v>0</v>
      </c>
    </row>
    <row r="52" spans="1:14" x14ac:dyDescent="0.35">
      <c r="A52" s="5" t="s">
        <v>59</v>
      </c>
      <c r="B52" s="32">
        <v>0</v>
      </c>
      <c r="C52" s="32">
        <f t="shared" si="11"/>
        <v>0</v>
      </c>
      <c r="D52" s="32">
        <f t="shared" si="12"/>
        <v>0</v>
      </c>
      <c r="E52" s="32">
        <f t="shared" si="13"/>
        <v>0</v>
      </c>
      <c r="F52" s="32">
        <f t="shared" si="14"/>
        <v>0</v>
      </c>
      <c r="G52" s="32">
        <f t="shared" si="15"/>
        <v>0</v>
      </c>
      <c r="H52" s="32">
        <f t="shared" si="16"/>
        <v>0</v>
      </c>
      <c r="I52" s="32">
        <f t="shared" si="17"/>
        <v>0</v>
      </c>
      <c r="J52" s="32">
        <f t="shared" si="18"/>
        <v>0</v>
      </c>
      <c r="K52" s="32">
        <f t="shared" si="19"/>
        <v>0</v>
      </c>
      <c r="L52" s="32">
        <f t="shared" si="20"/>
        <v>0</v>
      </c>
      <c r="M52" s="32">
        <f t="shared" si="21"/>
        <v>0</v>
      </c>
      <c r="N52" s="31">
        <f t="shared" si="22"/>
        <v>0</v>
      </c>
    </row>
    <row r="53" spans="1:14" x14ac:dyDescent="0.35">
      <c r="A53" s="8"/>
      <c r="B53" s="32">
        <v>0</v>
      </c>
      <c r="C53" s="32">
        <f t="shared" si="11"/>
        <v>0</v>
      </c>
      <c r="D53" s="32">
        <f t="shared" si="12"/>
        <v>0</v>
      </c>
      <c r="E53" s="32">
        <f t="shared" si="13"/>
        <v>0</v>
      </c>
      <c r="F53" s="32">
        <f t="shared" si="14"/>
        <v>0</v>
      </c>
      <c r="G53" s="32">
        <f t="shared" si="15"/>
        <v>0</v>
      </c>
      <c r="H53" s="32">
        <f t="shared" si="16"/>
        <v>0</v>
      </c>
      <c r="I53" s="32">
        <f t="shared" si="17"/>
        <v>0</v>
      </c>
      <c r="J53" s="32">
        <f t="shared" si="18"/>
        <v>0</v>
      </c>
      <c r="K53" s="32">
        <f t="shared" si="19"/>
        <v>0</v>
      </c>
      <c r="L53" s="32">
        <f t="shared" si="20"/>
        <v>0</v>
      </c>
      <c r="M53" s="32">
        <f t="shared" si="21"/>
        <v>0</v>
      </c>
      <c r="N53" s="31">
        <f t="shared" si="22"/>
        <v>0</v>
      </c>
    </row>
    <row r="54" spans="1:14" x14ac:dyDescent="0.35">
      <c r="A54" s="8"/>
      <c r="B54" s="32">
        <v>0</v>
      </c>
      <c r="C54" s="32">
        <f t="shared" si="11"/>
        <v>0</v>
      </c>
      <c r="D54" s="32">
        <f t="shared" si="12"/>
        <v>0</v>
      </c>
      <c r="E54" s="32">
        <f t="shared" si="13"/>
        <v>0</v>
      </c>
      <c r="F54" s="32">
        <f t="shared" si="14"/>
        <v>0</v>
      </c>
      <c r="G54" s="32">
        <f t="shared" si="15"/>
        <v>0</v>
      </c>
      <c r="H54" s="32">
        <f t="shared" si="16"/>
        <v>0</v>
      </c>
      <c r="I54" s="32">
        <f t="shared" si="17"/>
        <v>0</v>
      </c>
      <c r="J54" s="32">
        <f t="shared" si="18"/>
        <v>0</v>
      </c>
      <c r="K54" s="32">
        <f t="shared" si="19"/>
        <v>0</v>
      </c>
      <c r="L54" s="32">
        <f t="shared" si="20"/>
        <v>0</v>
      </c>
      <c r="M54" s="32">
        <f t="shared" si="21"/>
        <v>0</v>
      </c>
      <c r="N54" s="31">
        <f t="shared" si="22"/>
        <v>0</v>
      </c>
    </row>
    <row r="55" spans="1:14" x14ac:dyDescent="0.35">
      <c r="A55" s="7" t="s">
        <v>60</v>
      </c>
      <c r="B55" s="39">
        <f t="shared" ref="B55:G55" si="23">SUM(B42:B54)</f>
        <v>8541.6666666666661</v>
      </c>
      <c r="C55" s="39">
        <f t="shared" si="23"/>
        <v>8541.6666666666661</v>
      </c>
      <c r="D55" s="39">
        <f t="shared" si="23"/>
        <v>8541.6666666666661</v>
      </c>
      <c r="E55" s="39">
        <f t="shared" si="23"/>
        <v>8541.6666666666661</v>
      </c>
      <c r="F55" s="39">
        <f t="shared" si="23"/>
        <v>8541.6666666666661</v>
      </c>
      <c r="G55" s="39">
        <f t="shared" si="23"/>
        <v>8541.6666666666661</v>
      </c>
      <c r="H55" s="39">
        <f t="shared" ref="H55:N55" si="24">SUM(H42:H54)</f>
        <v>8541.6666666666661</v>
      </c>
      <c r="I55" s="39">
        <f t="shared" si="24"/>
        <v>8541.6666666666661</v>
      </c>
      <c r="J55" s="39">
        <f t="shared" si="24"/>
        <v>8541.6666666666661</v>
      </c>
      <c r="K55" s="39">
        <f t="shared" si="24"/>
        <v>8541.6666666666661</v>
      </c>
      <c r="L55" s="39">
        <f t="shared" si="24"/>
        <v>8541.6666666666661</v>
      </c>
      <c r="M55" s="39">
        <f t="shared" si="24"/>
        <v>8541.6666666666661</v>
      </c>
      <c r="N55" s="39">
        <f t="shared" si="24"/>
        <v>102500</v>
      </c>
    </row>
    <row r="56" spans="1:14" x14ac:dyDescent="0.35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 x14ac:dyDescent="0.35">
      <c r="A57" s="54" t="s">
        <v>61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 x14ac:dyDescent="0.35">
      <c r="A58" s="52" t="s">
        <v>62</v>
      </c>
      <c r="B58" s="53"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42">
        <f>SUM(B58:M58)</f>
        <v>0</v>
      </c>
    </row>
    <row r="59" spans="1:14" x14ac:dyDescent="0.35">
      <c r="A59" s="5" t="s">
        <v>63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1">
        <f t="shared" ref="N59:N83" si="25">SUM(B59:M59)</f>
        <v>0</v>
      </c>
    </row>
    <row r="60" spans="1:14" x14ac:dyDescent="0.35">
      <c r="A60" s="5" t="s">
        <v>64</v>
      </c>
      <c r="B60" s="32">
        <f>'5yr Budget Projection'!B76/12</f>
        <v>208.33333333333334</v>
      </c>
      <c r="C60" s="32">
        <f>B60</f>
        <v>208.33333333333334</v>
      </c>
      <c r="D60" s="32">
        <f>B60</f>
        <v>208.33333333333334</v>
      </c>
      <c r="E60" s="32">
        <f>B60</f>
        <v>208.33333333333334</v>
      </c>
      <c r="F60" s="32">
        <f>B60</f>
        <v>208.33333333333334</v>
      </c>
      <c r="G60" s="32">
        <f>B60</f>
        <v>208.33333333333334</v>
      </c>
      <c r="H60" s="32">
        <f>B60</f>
        <v>208.33333333333334</v>
      </c>
      <c r="I60" s="32">
        <f>B60</f>
        <v>208.33333333333334</v>
      </c>
      <c r="J60" s="32">
        <f>B60</f>
        <v>208.33333333333334</v>
      </c>
      <c r="K60" s="32">
        <f>B60</f>
        <v>208.33333333333334</v>
      </c>
      <c r="L60" s="32">
        <f>B60</f>
        <v>208.33333333333334</v>
      </c>
      <c r="M60" s="32">
        <f>B60</f>
        <v>208.33333333333334</v>
      </c>
      <c r="N60" s="31">
        <f t="shared" si="25"/>
        <v>2500</v>
      </c>
    </row>
    <row r="61" spans="1:14" x14ac:dyDescent="0.35">
      <c r="A61" s="5" t="s">
        <v>65</v>
      </c>
      <c r="B61" s="32">
        <f>'5yr Budget Projection'!B77/12</f>
        <v>208.33333333333334</v>
      </c>
      <c r="C61" s="32">
        <f>B61</f>
        <v>208.33333333333334</v>
      </c>
      <c r="D61" s="32">
        <f>B61</f>
        <v>208.33333333333334</v>
      </c>
      <c r="E61" s="32">
        <f>B61</f>
        <v>208.33333333333334</v>
      </c>
      <c r="F61" s="32">
        <f>B61</f>
        <v>208.33333333333334</v>
      </c>
      <c r="G61" s="32">
        <f>B61</f>
        <v>208.33333333333334</v>
      </c>
      <c r="H61" s="32">
        <f>B61</f>
        <v>208.33333333333334</v>
      </c>
      <c r="I61" s="32">
        <f>B61</f>
        <v>208.33333333333334</v>
      </c>
      <c r="J61" s="32">
        <f>B61</f>
        <v>208.33333333333334</v>
      </c>
      <c r="K61" s="32">
        <f>B61</f>
        <v>208.33333333333334</v>
      </c>
      <c r="L61" s="32">
        <f>B61</f>
        <v>208.33333333333334</v>
      </c>
      <c r="M61" s="32">
        <f>B61</f>
        <v>208.33333333333334</v>
      </c>
      <c r="N61" s="31">
        <f t="shared" si="25"/>
        <v>2500</v>
      </c>
    </row>
    <row r="62" spans="1:14" x14ac:dyDescent="0.35">
      <c r="A62" s="5" t="s">
        <v>66</v>
      </c>
      <c r="B62" s="32">
        <f>'5yr Budget Projection'!B78/12</f>
        <v>675</v>
      </c>
      <c r="C62" s="32">
        <f>B62</f>
        <v>675</v>
      </c>
      <c r="D62" s="32">
        <f>B62</f>
        <v>675</v>
      </c>
      <c r="E62" s="32">
        <f>B62</f>
        <v>675</v>
      </c>
      <c r="F62" s="32">
        <f>B62</f>
        <v>675</v>
      </c>
      <c r="G62" s="32">
        <f>B62</f>
        <v>675</v>
      </c>
      <c r="H62" s="32">
        <f>B62</f>
        <v>675</v>
      </c>
      <c r="I62" s="32">
        <f>B62</f>
        <v>675</v>
      </c>
      <c r="J62" s="32">
        <f>B62</f>
        <v>675</v>
      </c>
      <c r="K62" s="32">
        <f>B62</f>
        <v>675</v>
      </c>
      <c r="L62" s="32">
        <f>B62</f>
        <v>675</v>
      </c>
      <c r="M62" s="32">
        <f>B62</f>
        <v>675</v>
      </c>
      <c r="N62" s="31">
        <f t="shared" si="25"/>
        <v>8100</v>
      </c>
    </row>
    <row r="63" spans="1:14" x14ac:dyDescent="0.35">
      <c r="A63" s="5" t="s">
        <v>67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1">
        <f t="shared" si="25"/>
        <v>0</v>
      </c>
    </row>
    <row r="64" spans="1:14" x14ac:dyDescent="0.35">
      <c r="A64" s="5" t="s">
        <v>68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1">
        <f t="shared" si="25"/>
        <v>0</v>
      </c>
    </row>
    <row r="65" spans="1:14" x14ac:dyDescent="0.35">
      <c r="A65" s="5" t="s">
        <v>69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1">
        <f t="shared" si="25"/>
        <v>0</v>
      </c>
    </row>
    <row r="66" spans="1:14" x14ac:dyDescent="0.35">
      <c r="A66" s="5" t="s">
        <v>70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1">
        <f t="shared" si="25"/>
        <v>0</v>
      </c>
    </row>
    <row r="67" spans="1:14" x14ac:dyDescent="0.35">
      <c r="A67" s="5" t="s">
        <v>71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1">
        <f t="shared" si="25"/>
        <v>0</v>
      </c>
    </row>
    <row r="68" spans="1:14" x14ac:dyDescent="0.35">
      <c r="A68" s="5" t="s">
        <v>72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1">
        <f t="shared" si="25"/>
        <v>0</v>
      </c>
    </row>
    <row r="69" spans="1:14" x14ac:dyDescent="0.35">
      <c r="A69" s="5" t="s">
        <v>73</v>
      </c>
      <c r="B69" s="32">
        <f>'5yr Budget Projection'!B85/12</f>
        <v>208.33333333333334</v>
      </c>
      <c r="C69" s="32">
        <f>B69</f>
        <v>208.33333333333334</v>
      </c>
      <c r="D69" s="32">
        <f>B69</f>
        <v>208.33333333333334</v>
      </c>
      <c r="E69" s="32">
        <f>B69</f>
        <v>208.33333333333334</v>
      </c>
      <c r="F69" s="32">
        <f>B69</f>
        <v>208.33333333333334</v>
      </c>
      <c r="G69" s="32">
        <f>B69</f>
        <v>208.33333333333334</v>
      </c>
      <c r="H69" s="32">
        <f>B69</f>
        <v>208.33333333333334</v>
      </c>
      <c r="I69" s="32">
        <f>B69</f>
        <v>208.33333333333334</v>
      </c>
      <c r="J69" s="32">
        <f>B69</f>
        <v>208.33333333333334</v>
      </c>
      <c r="K69" s="32">
        <f>B69</f>
        <v>208.33333333333334</v>
      </c>
      <c r="L69" s="32">
        <f>B69</f>
        <v>208.33333333333334</v>
      </c>
      <c r="M69" s="32">
        <f>B69</f>
        <v>208.33333333333334</v>
      </c>
      <c r="N69" s="31">
        <f t="shared" si="25"/>
        <v>2500</v>
      </c>
    </row>
    <row r="70" spans="1:14" x14ac:dyDescent="0.35">
      <c r="A70" s="5" t="s">
        <v>74</v>
      </c>
      <c r="B70" s="32">
        <f>'5yr Budget Projection'!B86/12</f>
        <v>833.33333333333337</v>
      </c>
      <c r="C70" s="32">
        <f>B70</f>
        <v>833.33333333333337</v>
      </c>
      <c r="D70" s="32">
        <f t="shared" ref="D70:M70" si="26">C70</f>
        <v>833.33333333333337</v>
      </c>
      <c r="E70" s="32">
        <f t="shared" si="26"/>
        <v>833.33333333333337</v>
      </c>
      <c r="F70" s="32">
        <f t="shared" si="26"/>
        <v>833.33333333333337</v>
      </c>
      <c r="G70" s="32">
        <f t="shared" si="26"/>
        <v>833.33333333333337</v>
      </c>
      <c r="H70" s="32">
        <f t="shared" si="26"/>
        <v>833.33333333333337</v>
      </c>
      <c r="I70" s="32">
        <f t="shared" si="26"/>
        <v>833.33333333333337</v>
      </c>
      <c r="J70" s="32">
        <f t="shared" si="26"/>
        <v>833.33333333333337</v>
      </c>
      <c r="K70" s="32">
        <f t="shared" si="26"/>
        <v>833.33333333333337</v>
      </c>
      <c r="L70" s="32">
        <f t="shared" si="26"/>
        <v>833.33333333333337</v>
      </c>
      <c r="M70" s="32">
        <f t="shared" si="26"/>
        <v>833.33333333333337</v>
      </c>
      <c r="N70" s="31">
        <f t="shared" si="25"/>
        <v>10000</v>
      </c>
    </row>
    <row r="71" spans="1:14" x14ac:dyDescent="0.35">
      <c r="A71" s="5" t="s">
        <v>75</v>
      </c>
      <c r="B71" s="32">
        <f>'5yr Budget Projection'!B87/12</f>
        <v>208.33333333333334</v>
      </c>
      <c r="C71" s="32">
        <f>B71</f>
        <v>208.33333333333334</v>
      </c>
      <c r="D71" s="32">
        <f>B71</f>
        <v>208.33333333333334</v>
      </c>
      <c r="E71" s="32">
        <f>B71</f>
        <v>208.33333333333334</v>
      </c>
      <c r="F71" s="32">
        <f>B71</f>
        <v>208.33333333333334</v>
      </c>
      <c r="G71" s="32">
        <f>B71</f>
        <v>208.33333333333334</v>
      </c>
      <c r="H71" s="32">
        <f>B71</f>
        <v>208.33333333333334</v>
      </c>
      <c r="I71" s="32">
        <f>B71</f>
        <v>208.33333333333334</v>
      </c>
      <c r="J71" s="32">
        <f>B71</f>
        <v>208.33333333333334</v>
      </c>
      <c r="K71" s="32">
        <f>B71</f>
        <v>208.33333333333334</v>
      </c>
      <c r="L71" s="32">
        <f>B71</f>
        <v>208.33333333333334</v>
      </c>
      <c r="M71" s="32">
        <f>B71</f>
        <v>208.33333333333334</v>
      </c>
      <c r="N71" s="31">
        <f t="shared" si="25"/>
        <v>2500</v>
      </c>
    </row>
    <row r="72" spans="1:14" x14ac:dyDescent="0.35">
      <c r="A72" s="5" t="s">
        <v>76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1">
        <f t="shared" si="25"/>
        <v>0</v>
      </c>
    </row>
    <row r="73" spans="1:14" x14ac:dyDescent="0.35">
      <c r="A73" s="5" t="s">
        <v>77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1">
        <f t="shared" si="25"/>
        <v>0</v>
      </c>
    </row>
    <row r="74" spans="1:14" x14ac:dyDescent="0.35">
      <c r="A74" s="5" t="s">
        <v>78</v>
      </c>
      <c r="B74" s="32">
        <f>'5yr Budget Projection'!B90/12</f>
        <v>41.666666666666664</v>
      </c>
      <c r="C74" s="32">
        <f>B74</f>
        <v>41.666666666666664</v>
      </c>
      <c r="D74" s="32">
        <f>B74</f>
        <v>41.666666666666664</v>
      </c>
      <c r="E74" s="32">
        <f>B74</f>
        <v>41.666666666666664</v>
      </c>
      <c r="F74" s="32">
        <f>B74</f>
        <v>41.666666666666664</v>
      </c>
      <c r="G74" s="32">
        <f>B74</f>
        <v>41.666666666666664</v>
      </c>
      <c r="H74" s="32">
        <f>B74</f>
        <v>41.666666666666664</v>
      </c>
      <c r="I74" s="32">
        <f>B74</f>
        <v>41.666666666666664</v>
      </c>
      <c r="J74" s="32">
        <f>B74</f>
        <v>41.666666666666664</v>
      </c>
      <c r="K74" s="32">
        <f>B74</f>
        <v>41.666666666666664</v>
      </c>
      <c r="L74" s="32">
        <f>B74</f>
        <v>41.666666666666664</v>
      </c>
      <c r="M74" s="32">
        <f>B74</f>
        <v>41.666666666666664</v>
      </c>
      <c r="N74" s="31">
        <f t="shared" si="25"/>
        <v>500.00000000000006</v>
      </c>
    </row>
    <row r="75" spans="1:14" x14ac:dyDescent="0.35">
      <c r="A75" s="5" t="s">
        <v>79</v>
      </c>
      <c r="B75" s="32">
        <f>'5yr Budget Projection'!B91/12</f>
        <v>41.666666666666664</v>
      </c>
      <c r="C75" s="32">
        <f>B75</f>
        <v>41.666666666666664</v>
      </c>
      <c r="D75" s="32">
        <f>B75</f>
        <v>41.666666666666664</v>
      </c>
      <c r="E75" s="32">
        <f>B75</f>
        <v>41.666666666666664</v>
      </c>
      <c r="F75" s="32">
        <f>B75</f>
        <v>41.666666666666664</v>
      </c>
      <c r="G75" s="32">
        <f>B75</f>
        <v>41.666666666666664</v>
      </c>
      <c r="H75" s="32">
        <f>B75</f>
        <v>41.666666666666664</v>
      </c>
      <c r="I75" s="32">
        <f>B75</f>
        <v>41.666666666666664</v>
      </c>
      <c r="J75" s="32">
        <f>B75</f>
        <v>41.666666666666664</v>
      </c>
      <c r="K75" s="32">
        <f>B75</f>
        <v>41.666666666666664</v>
      </c>
      <c r="L75" s="32">
        <f>B75</f>
        <v>41.666666666666664</v>
      </c>
      <c r="M75" s="32">
        <f>B75</f>
        <v>41.666666666666664</v>
      </c>
      <c r="N75" s="31">
        <f t="shared" si="25"/>
        <v>500.00000000000006</v>
      </c>
    </row>
    <row r="76" spans="1:14" x14ac:dyDescent="0.35">
      <c r="A76" s="5" t="s">
        <v>80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1">
        <f t="shared" si="25"/>
        <v>0</v>
      </c>
    </row>
    <row r="77" spans="1:14" x14ac:dyDescent="0.35">
      <c r="A77" s="5" t="s">
        <v>81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1">
        <f t="shared" si="25"/>
        <v>0</v>
      </c>
    </row>
    <row r="78" spans="1:14" x14ac:dyDescent="0.35">
      <c r="A78" s="5" t="s">
        <v>42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1">
        <f t="shared" si="25"/>
        <v>0</v>
      </c>
    </row>
    <row r="79" spans="1:14" x14ac:dyDescent="0.35">
      <c r="A79" s="5" t="s">
        <v>82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1">
        <f t="shared" si="25"/>
        <v>0</v>
      </c>
    </row>
    <row r="80" spans="1:14" x14ac:dyDescent="0.35">
      <c r="A80" s="5" t="s">
        <v>83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1">
        <f t="shared" si="25"/>
        <v>0</v>
      </c>
    </row>
    <row r="81" spans="1:14" x14ac:dyDescent="0.35">
      <c r="A81" s="5" t="s">
        <v>84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1">
        <f t="shared" si="25"/>
        <v>0</v>
      </c>
    </row>
    <row r="82" spans="1:14" x14ac:dyDescent="0.35">
      <c r="A82" s="5" t="s">
        <v>85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1">
        <f t="shared" si="25"/>
        <v>0</v>
      </c>
    </row>
    <row r="83" spans="1:14" x14ac:dyDescent="0.35">
      <c r="A83" s="5" t="s">
        <v>86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1">
        <f t="shared" si="25"/>
        <v>0</v>
      </c>
    </row>
    <row r="84" spans="1:14" x14ac:dyDescent="0.35">
      <c r="A84" s="5" t="s">
        <v>87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1">
        <f>SUM(B84:M84)</f>
        <v>0</v>
      </c>
    </row>
    <row r="85" spans="1:14" x14ac:dyDescent="0.35">
      <c r="A85" s="8" t="s">
        <v>136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1">
        <f>SUM(B85:M85)</f>
        <v>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88</v>
      </c>
      <c r="B87" s="39">
        <f t="shared" ref="B87:N87" si="27">SUM(B58:B86)</f>
        <v>2425</v>
      </c>
      <c r="C87" s="39">
        <f t="shared" si="27"/>
        <v>2425</v>
      </c>
      <c r="D87" s="39">
        <f t="shared" si="27"/>
        <v>2425</v>
      </c>
      <c r="E87" s="39">
        <f t="shared" si="27"/>
        <v>2425</v>
      </c>
      <c r="F87" s="39">
        <f t="shared" si="27"/>
        <v>2425</v>
      </c>
      <c r="G87" s="39">
        <f t="shared" si="27"/>
        <v>2425</v>
      </c>
      <c r="H87" s="39">
        <f t="shared" si="27"/>
        <v>2425</v>
      </c>
      <c r="I87" s="39">
        <f t="shared" si="27"/>
        <v>2425</v>
      </c>
      <c r="J87" s="39">
        <f t="shared" si="27"/>
        <v>2425</v>
      </c>
      <c r="K87" s="39">
        <f t="shared" si="27"/>
        <v>2425</v>
      </c>
      <c r="L87" s="39">
        <f t="shared" si="27"/>
        <v>2425</v>
      </c>
      <c r="M87" s="39">
        <f t="shared" si="27"/>
        <v>2425</v>
      </c>
      <c r="N87" s="39">
        <f t="shared" si="27"/>
        <v>29100</v>
      </c>
    </row>
    <row r="88" spans="1:14" x14ac:dyDescent="0.35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x14ac:dyDescent="0.35">
      <c r="A89" s="54" t="s">
        <v>89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 x14ac:dyDescent="0.35">
      <c r="A90" s="52" t="s">
        <v>90</v>
      </c>
      <c r="B90" s="53"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42">
        <f t="shared" ref="N90:N96" si="28">SUM(B90:M90)</f>
        <v>0</v>
      </c>
    </row>
    <row r="91" spans="1:14" x14ac:dyDescent="0.35">
      <c r="A91" s="5" t="s">
        <v>91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1">
        <f t="shared" si="28"/>
        <v>0</v>
      </c>
    </row>
    <row r="92" spans="1:14" x14ac:dyDescent="0.35">
      <c r="A92" s="5" t="s">
        <v>92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1">
        <f t="shared" si="28"/>
        <v>0</v>
      </c>
    </row>
    <row r="93" spans="1:14" x14ac:dyDescent="0.35">
      <c r="A93" s="5" t="s">
        <v>93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1">
        <f t="shared" si="28"/>
        <v>0</v>
      </c>
    </row>
    <row r="94" spans="1:14" x14ac:dyDescent="0.35">
      <c r="A94" s="5" t="s">
        <v>94</v>
      </c>
      <c r="B94" s="32">
        <v>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1">
        <f t="shared" si="28"/>
        <v>0</v>
      </c>
    </row>
    <row r="95" spans="1:14" x14ac:dyDescent="0.35">
      <c r="A95" s="8" t="s">
        <v>196</v>
      </c>
      <c r="B95" s="32">
        <f>'5yr Budget Projection'!B111/12</f>
        <v>12500</v>
      </c>
      <c r="C95" s="32">
        <f t="shared" ref="C95:M95" si="29">B95</f>
        <v>12500</v>
      </c>
      <c r="D95" s="32">
        <f t="shared" si="29"/>
        <v>12500</v>
      </c>
      <c r="E95" s="32">
        <f t="shared" si="29"/>
        <v>12500</v>
      </c>
      <c r="F95" s="32">
        <f t="shared" si="29"/>
        <v>12500</v>
      </c>
      <c r="G95" s="32">
        <f t="shared" si="29"/>
        <v>12500</v>
      </c>
      <c r="H95" s="32">
        <f t="shared" si="29"/>
        <v>12500</v>
      </c>
      <c r="I95" s="32">
        <f t="shared" si="29"/>
        <v>12500</v>
      </c>
      <c r="J95" s="32">
        <f t="shared" si="29"/>
        <v>12500</v>
      </c>
      <c r="K95" s="32">
        <f t="shared" si="29"/>
        <v>12500</v>
      </c>
      <c r="L95" s="32">
        <f t="shared" si="29"/>
        <v>12500</v>
      </c>
      <c r="M95" s="32">
        <f t="shared" si="29"/>
        <v>12500</v>
      </c>
      <c r="N95" s="31">
        <f t="shared" si="28"/>
        <v>150000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28"/>
        <v>0</v>
      </c>
    </row>
    <row r="97" spans="1:14" x14ac:dyDescent="0.35">
      <c r="A97" s="7" t="s">
        <v>95</v>
      </c>
      <c r="B97" s="39">
        <f t="shared" ref="B97:N97" si="30">SUM(B90:B96)</f>
        <v>12500</v>
      </c>
      <c r="C97" s="39">
        <f t="shared" si="30"/>
        <v>12500</v>
      </c>
      <c r="D97" s="39">
        <f t="shared" si="30"/>
        <v>12500</v>
      </c>
      <c r="E97" s="39">
        <f t="shared" si="30"/>
        <v>12500</v>
      </c>
      <c r="F97" s="39">
        <f t="shared" si="30"/>
        <v>12500</v>
      </c>
      <c r="G97" s="39">
        <f t="shared" si="30"/>
        <v>12500</v>
      </c>
      <c r="H97" s="39">
        <f t="shared" si="30"/>
        <v>12500</v>
      </c>
      <c r="I97" s="39">
        <f t="shared" si="30"/>
        <v>12500</v>
      </c>
      <c r="J97" s="39">
        <f t="shared" si="30"/>
        <v>12500</v>
      </c>
      <c r="K97" s="39">
        <f t="shared" si="30"/>
        <v>12500</v>
      </c>
      <c r="L97" s="39">
        <f t="shared" si="30"/>
        <v>12500</v>
      </c>
      <c r="M97" s="39">
        <f t="shared" si="30"/>
        <v>12500</v>
      </c>
      <c r="N97" s="39">
        <f t="shared" si="30"/>
        <v>150000</v>
      </c>
    </row>
    <row r="98" spans="1:14" x14ac:dyDescent="0.35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 x14ac:dyDescent="0.35">
      <c r="A99" s="7" t="s">
        <v>122</v>
      </c>
      <c r="B99" s="39">
        <f>ROUND(B39+B55+B87+B97,2)</f>
        <v>23466.67</v>
      </c>
      <c r="C99" s="39">
        <f t="shared" ref="C99:N99" si="31">ROUND(C39+C55+C87+C97,2)</f>
        <v>23466.67</v>
      </c>
      <c r="D99" s="39">
        <f t="shared" si="31"/>
        <v>23466.67</v>
      </c>
      <c r="E99" s="39">
        <f t="shared" si="31"/>
        <v>23466.67</v>
      </c>
      <c r="F99" s="39">
        <f t="shared" si="31"/>
        <v>23466.67</v>
      </c>
      <c r="G99" s="39">
        <f t="shared" si="31"/>
        <v>23466.67</v>
      </c>
      <c r="H99" s="39">
        <f t="shared" si="31"/>
        <v>23466.67</v>
      </c>
      <c r="I99" s="39">
        <f t="shared" si="31"/>
        <v>23466.67</v>
      </c>
      <c r="J99" s="39">
        <f t="shared" si="31"/>
        <v>23466.67</v>
      </c>
      <c r="K99" s="39">
        <f t="shared" si="31"/>
        <v>23466.67</v>
      </c>
      <c r="L99" s="39">
        <f t="shared" si="31"/>
        <v>23466.67</v>
      </c>
      <c r="M99" s="39">
        <f t="shared" si="31"/>
        <v>23466.67</v>
      </c>
      <c r="N99" s="39">
        <f t="shared" si="31"/>
        <v>281600</v>
      </c>
    </row>
    <row r="100" spans="1:14" x14ac:dyDescent="0.35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 x14ac:dyDescent="0.35">
      <c r="A101" s="5" t="s">
        <v>123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1">
        <f>SUM(B101:M101)</f>
        <v>0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7" t="s">
        <v>124</v>
      </c>
      <c r="B103" s="39">
        <f>B16-(B99+B101)</f>
        <v>20283.330000000002</v>
      </c>
      <c r="C103" s="39">
        <f t="shared" ref="C103:N103" si="32">C16-(C99+C101)</f>
        <v>20283.330000000002</v>
      </c>
      <c r="D103" s="39">
        <f t="shared" si="32"/>
        <v>20283.330000000002</v>
      </c>
      <c r="E103" s="39">
        <f t="shared" si="32"/>
        <v>20283.330000000002</v>
      </c>
      <c r="F103" s="39">
        <f t="shared" si="32"/>
        <v>20283.330000000002</v>
      </c>
      <c r="G103" s="39">
        <f t="shared" si="32"/>
        <v>20283.330000000002</v>
      </c>
      <c r="H103" s="39">
        <f t="shared" si="32"/>
        <v>20283.330000000002</v>
      </c>
      <c r="I103" s="39">
        <f t="shared" si="32"/>
        <v>20283.330000000002</v>
      </c>
      <c r="J103" s="39">
        <f t="shared" si="32"/>
        <v>20283.330000000002</v>
      </c>
      <c r="K103" s="39">
        <f t="shared" si="32"/>
        <v>20283.330000000002</v>
      </c>
      <c r="L103" s="39">
        <f t="shared" si="32"/>
        <v>20283.330000000002</v>
      </c>
      <c r="M103" s="39">
        <f t="shared" si="32"/>
        <v>20283.330000000002</v>
      </c>
      <c r="N103" s="39">
        <f t="shared" si="32"/>
        <v>243400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125</v>
      </c>
      <c r="B105" s="39">
        <f>ROUND(B3+B103,2)</f>
        <v>20283.330000000002</v>
      </c>
      <c r="C105" s="39">
        <f t="shared" ref="C105:M105" si="33">ROUND(C3+C103,2)</f>
        <v>40566.660000000003</v>
      </c>
      <c r="D105" s="39">
        <f t="shared" si="33"/>
        <v>60849.99</v>
      </c>
      <c r="E105" s="39">
        <f t="shared" si="33"/>
        <v>81133.320000000007</v>
      </c>
      <c r="F105" s="39">
        <f t="shared" si="33"/>
        <v>101416.65</v>
      </c>
      <c r="G105" s="39">
        <f t="shared" si="33"/>
        <v>121699.98</v>
      </c>
      <c r="H105" s="39">
        <f t="shared" si="33"/>
        <v>141983.31</v>
      </c>
      <c r="I105" s="39">
        <f t="shared" si="33"/>
        <v>162266.64000000001</v>
      </c>
      <c r="J105" s="39">
        <f t="shared" si="33"/>
        <v>182549.97</v>
      </c>
      <c r="K105" s="39">
        <f t="shared" si="33"/>
        <v>202833.3</v>
      </c>
      <c r="L105" s="39">
        <f t="shared" si="33"/>
        <v>223116.63</v>
      </c>
      <c r="M105" s="39">
        <f t="shared" si="33"/>
        <v>243399.96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76" activePane="bottomLeft" state="frozen"/>
      <selection pane="bottomLeft" activeCell="C91" sqref="C91"/>
    </sheetView>
  </sheetViews>
  <sheetFormatPr defaultColWidth="8.7265625"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82" t="s">
        <v>126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 x14ac:dyDescent="0.35">
      <c r="A2" s="5" t="str">
        <f>'5yr Budget Projection'!A2</f>
        <v xml:space="preserve">School Name: Tapestry Public Charter School Clayton </v>
      </c>
      <c r="B2" s="6" t="s">
        <v>104</v>
      </c>
      <c r="C2" s="6" t="s">
        <v>105</v>
      </c>
      <c r="D2" s="6" t="s">
        <v>106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  <c r="J2" s="6" t="s">
        <v>112</v>
      </c>
      <c r="K2" s="6" t="s">
        <v>113</v>
      </c>
      <c r="L2" s="6" t="s">
        <v>114</v>
      </c>
      <c r="M2" s="6" t="s">
        <v>115</v>
      </c>
      <c r="N2" s="6" t="s">
        <v>116</v>
      </c>
    </row>
    <row r="3" spans="1:14" x14ac:dyDescent="0.35">
      <c r="A3" s="55" t="s">
        <v>117</v>
      </c>
      <c r="B3" s="50">
        <f>'Cash Flow Proj Yr0'!M105</f>
        <v>243399.96</v>
      </c>
      <c r="C3" s="50">
        <f>B105</f>
        <v>241352.58</v>
      </c>
      <c r="D3" s="50">
        <f t="shared" ref="D3:M3" si="0">C105</f>
        <v>243903.2</v>
      </c>
      <c r="E3" s="50">
        <f t="shared" si="0"/>
        <v>246453.82</v>
      </c>
      <c r="F3" s="50">
        <f t="shared" si="0"/>
        <v>249004.44</v>
      </c>
      <c r="G3" s="50">
        <f t="shared" si="0"/>
        <v>251555.06</v>
      </c>
      <c r="H3" s="50">
        <f t="shared" si="0"/>
        <v>254105.68</v>
      </c>
      <c r="I3" s="50">
        <f t="shared" si="0"/>
        <v>256656.3</v>
      </c>
      <c r="J3" s="50">
        <f t="shared" si="0"/>
        <v>259206.92</v>
      </c>
      <c r="K3" s="50">
        <f t="shared" si="0"/>
        <v>261757.54</v>
      </c>
      <c r="L3" s="50">
        <f t="shared" si="0"/>
        <v>264308.15999999997</v>
      </c>
      <c r="M3" s="50">
        <f t="shared" si="0"/>
        <v>266858.78000000003</v>
      </c>
      <c r="N3" s="50"/>
    </row>
    <row r="4" spans="1:14" ht="26" x14ac:dyDescent="0.6">
      <c r="A4" s="56" t="s">
        <v>118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119</v>
      </c>
      <c r="B5" s="53">
        <f>$N$5/12</f>
        <v>120674.58791666666</v>
      </c>
      <c r="C5" s="53">
        <f>$N$5/12</f>
        <v>120674.58791666666</v>
      </c>
      <c r="D5" s="53">
        <f t="shared" ref="D5:M5" si="1">$N$5/12</f>
        <v>120674.58791666666</v>
      </c>
      <c r="E5" s="53">
        <f t="shared" si="1"/>
        <v>120674.58791666666</v>
      </c>
      <c r="F5" s="53">
        <f t="shared" si="1"/>
        <v>120674.58791666666</v>
      </c>
      <c r="G5" s="53">
        <f t="shared" si="1"/>
        <v>120674.58791666666</v>
      </c>
      <c r="H5" s="53">
        <f t="shared" si="1"/>
        <v>120674.58791666666</v>
      </c>
      <c r="I5" s="53">
        <f t="shared" si="1"/>
        <v>120674.58791666666</v>
      </c>
      <c r="J5" s="53">
        <f t="shared" si="1"/>
        <v>120674.58791666666</v>
      </c>
      <c r="K5" s="53">
        <f t="shared" si="1"/>
        <v>120674.58791666666</v>
      </c>
      <c r="L5" s="53">
        <f t="shared" si="1"/>
        <v>120674.58791666666</v>
      </c>
      <c r="M5" s="53">
        <f t="shared" si="1"/>
        <v>120674.58791666666</v>
      </c>
      <c r="N5" s="42">
        <f>'5yr Budget Projection'!D20+'5yr Budget Projection'!D21</f>
        <v>1448095.0549999999</v>
      </c>
    </row>
    <row r="6" spans="1:14" x14ac:dyDescent="0.35">
      <c r="A6" s="71" t="s">
        <v>134</v>
      </c>
      <c r="B6" s="72">
        <f>'5yr Budget Projection'!D23/12</f>
        <v>4166.666666666667</v>
      </c>
      <c r="C6" s="32">
        <f>B6</f>
        <v>4166.666666666667</v>
      </c>
      <c r="D6" s="32">
        <f>C6</f>
        <v>4166.666666666667</v>
      </c>
      <c r="E6" s="32">
        <f t="shared" ref="E6:M6" si="2">D6</f>
        <v>4166.666666666667</v>
      </c>
      <c r="F6" s="32">
        <f t="shared" si="2"/>
        <v>4166.666666666667</v>
      </c>
      <c r="G6" s="32">
        <f t="shared" si="2"/>
        <v>4166.666666666667</v>
      </c>
      <c r="H6" s="32">
        <f t="shared" si="2"/>
        <v>4166.666666666667</v>
      </c>
      <c r="I6" s="32">
        <f t="shared" si="2"/>
        <v>4166.666666666667</v>
      </c>
      <c r="J6" s="32">
        <f t="shared" si="2"/>
        <v>4166.666666666667</v>
      </c>
      <c r="K6" s="32">
        <f t="shared" si="2"/>
        <v>4166.666666666667</v>
      </c>
      <c r="L6" s="32">
        <f t="shared" si="2"/>
        <v>4166.666666666667</v>
      </c>
      <c r="M6" s="32">
        <f t="shared" si="2"/>
        <v>4166.666666666667</v>
      </c>
      <c r="N6" s="31">
        <f>SUM(B6:M6)</f>
        <v>49999.999999999993</v>
      </c>
    </row>
    <row r="7" spans="1:14" x14ac:dyDescent="0.35">
      <c r="A7" s="8" t="s">
        <v>135</v>
      </c>
      <c r="B7" s="7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3">SUM(B7:M7)</f>
        <v>0</v>
      </c>
    </row>
    <row r="8" spans="1:14" x14ac:dyDescent="0.35">
      <c r="A8" s="8" t="s">
        <v>26</v>
      </c>
      <c r="B8" s="32"/>
      <c r="C8" s="32">
        <f>'5yr Budget Projection'!D22/10</f>
        <v>4598</v>
      </c>
      <c r="D8" s="32">
        <f>C8</f>
        <v>4598</v>
      </c>
      <c r="E8" s="32">
        <f t="shared" ref="E8:L8" si="4">D8</f>
        <v>4598</v>
      </c>
      <c r="F8" s="32">
        <f t="shared" si="4"/>
        <v>4598</v>
      </c>
      <c r="G8" s="32">
        <f t="shared" si="4"/>
        <v>4598</v>
      </c>
      <c r="H8" s="32">
        <f t="shared" si="4"/>
        <v>4598</v>
      </c>
      <c r="I8" s="32">
        <f t="shared" si="4"/>
        <v>4598</v>
      </c>
      <c r="J8" s="32">
        <f t="shared" si="4"/>
        <v>4598</v>
      </c>
      <c r="K8" s="32">
        <f t="shared" si="4"/>
        <v>4598</v>
      </c>
      <c r="L8" s="32">
        <f t="shared" si="4"/>
        <v>4598</v>
      </c>
      <c r="M8" s="32"/>
      <c r="N8" s="31">
        <f t="shared" si="3"/>
        <v>45980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3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3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3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3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3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3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120</v>
      </c>
      <c r="B16" s="39">
        <f>ROUND(SUM(B5:B15),2)</f>
        <v>124841.25</v>
      </c>
      <c r="C16" s="39">
        <f t="shared" ref="C16:M16" si="5">ROUND(SUM(C5:C15),2)</f>
        <v>129439.25</v>
      </c>
      <c r="D16" s="39">
        <f t="shared" si="5"/>
        <v>129439.25</v>
      </c>
      <c r="E16" s="39">
        <f t="shared" si="5"/>
        <v>129439.25</v>
      </c>
      <c r="F16" s="39">
        <f t="shared" si="5"/>
        <v>129439.25</v>
      </c>
      <c r="G16" s="39">
        <f t="shared" si="5"/>
        <v>129439.25</v>
      </c>
      <c r="H16" s="39">
        <f t="shared" si="5"/>
        <v>129439.25</v>
      </c>
      <c r="I16" s="39">
        <f t="shared" si="5"/>
        <v>129439.25</v>
      </c>
      <c r="J16" s="39">
        <f t="shared" si="5"/>
        <v>129439.25</v>
      </c>
      <c r="K16" s="39">
        <f t="shared" si="5"/>
        <v>129439.25</v>
      </c>
      <c r="L16" s="39">
        <f t="shared" si="5"/>
        <v>129439.25</v>
      </c>
      <c r="M16" s="39">
        <f t="shared" si="5"/>
        <v>124841.25</v>
      </c>
      <c r="N16" s="39">
        <f>SUM(N5:N15)</f>
        <v>1544075.0549999999</v>
      </c>
    </row>
    <row r="17" spans="1:14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" x14ac:dyDescent="0.6">
      <c r="A18" s="45" t="s">
        <v>121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x14ac:dyDescent="0.35">
      <c r="A19" s="54" t="s">
        <v>29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30</v>
      </c>
      <c r="B20" s="53">
        <f t="shared" ref="B20:B36" si="6">$N20/12</f>
        <v>8333.3333333333339</v>
      </c>
      <c r="C20" s="53">
        <f>B20</f>
        <v>8333.3333333333339</v>
      </c>
      <c r="D20" s="53">
        <f t="shared" ref="D20:M20" si="7">C20</f>
        <v>8333.3333333333339</v>
      </c>
      <c r="E20" s="53">
        <f t="shared" si="7"/>
        <v>8333.3333333333339</v>
      </c>
      <c r="F20" s="53">
        <f t="shared" si="7"/>
        <v>8333.3333333333339</v>
      </c>
      <c r="G20" s="53">
        <f t="shared" si="7"/>
        <v>8333.3333333333339</v>
      </c>
      <c r="H20" s="53">
        <f t="shared" si="7"/>
        <v>8333.3333333333339</v>
      </c>
      <c r="I20" s="53">
        <f t="shared" si="7"/>
        <v>8333.3333333333339</v>
      </c>
      <c r="J20" s="53">
        <f t="shared" si="7"/>
        <v>8333.3333333333339</v>
      </c>
      <c r="K20" s="53">
        <f t="shared" si="7"/>
        <v>8333.3333333333339</v>
      </c>
      <c r="L20" s="53">
        <f t="shared" si="7"/>
        <v>8333.3333333333339</v>
      </c>
      <c r="M20" s="53">
        <f t="shared" si="7"/>
        <v>8333.3333333333339</v>
      </c>
      <c r="N20" s="42">
        <f>'5yr Budget Projection'!D36</f>
        <v>100000</v>
      </c>
    </row>
    <row r="21" spans="1:14" x14ac:dyDescent="0.35">
      <c r="A21" s="5" t="s">
        <v>31</v>
      </c>
      <c r="B21" s="32">
        <f t="shared" si="6"/>
        <v>4916.666666666667</v>
      </c>
      <c r="C21" s="32">
        <f t="shared" ref="C21:M38" si="8">B21</f>
        <v>4916.666666666667</v>
      </c>
      <c r="D21" s="32">
        <f t="shared" si="8"/>
        <v>4916.666666666667</v>
      </c>
      <c r="E21" s="32">
        <f t="shared" si="8"/>
        <v>4916.666666666667</v>
      </c>
      <c r="F21" s="32">
        <f t="shared" si="8"/>
        <v>4916.666666666667</v>
      </c>
      <c r="G21" s="32">
        <f t="shared" si="8"/>
        <v>4916.666666666667</v>
      </c>
      <c r="H21" s="32">
        <f t="shared" si="8"/>
        <v>4916.666666666667</v>
      </c>
      <c r="I21" s="32">
        <f t="shared" si="8"/>
        <v>4916.666666666667</v>
      </c>
      <c r="J21" s="32">
        <f t="shared" si="8"/>
        <v>4916.666666666667</v>
      </c>
      <c r="K21" s="32">
        <f t="shared" si="8"/>
        <v>4916.666666666667</v>
      </c>
      <c r="L21" s="32">
        <f t="shared" si="8"/>
        <v>4916.666666666667</v>
      </c>
      <c r="M21" s="32">
        <f t="shared" si="8"/>
        <v>4916.666666666667</v>
      </c>
      <c r="N21" s="31">
        <f>'5yr Budget Projection'!D37</f>
        <v>59000</v>
      </c>
    </row>
    <row r="22" spans="1:14" x14ac:dyDescent="0.35">
      <c r="A22" s="5" t="s">
        <v>32</v>
      </c>
      <c r="B22" s="32">
        <f t="shared" si="6"/>
        <v>1875</v>
      </c>
      <c r="C22" s="32">
        <f t="shared" si="8"/>
        <v>1875</v>
      </c>
      <c r="D22" s="32">
        <f t="shared" si="8"/>
        <v>1875</v>
      </c>
      <c r="E22" s="32">
        <f t="shared" si="8"/>
        <v>1875</v>
      </c>
      <c r="F22" s="32">
        <f t="shared" si="8"/>
        <v>1875</v>
      </c>
      <c r="G22" s="32">
        <f t="shared" si="8"/>
        <v>1875</v>
      </c>
      <c r="H22" s="32">
        <f t="shared" si="8"/>
        <v>1875</v>
      </c>
      <c r="I22" s="32">
        <f t="shared" si="8"/>
        <v>1875</v>
      </c>
      <c r="J22" s="32">
        <f t="shared" si="8"/>
        <v>1875</v>
      </c>
      <c r="K22" s="32">
        <f t="shared" si="8"/>
        <v>1875</v>
      </c>
      <c r="L22" s="32">
        <f t="shared" si="8"/>
        <v>1875</v>
      </c>
      <c r="M22" s="32">
        <f t="shared" si="8"/>
        <v>1875</v>
      </c>
      <c r="N22" s="31">
        <f>'5yr Budget Projection'!D38</f>
        <v>22500</v>
      </c>
    </row>
    <row r="23" spans="1:14" x14ac:dyDescent="0.35">
      <c r="A23" s="5" t="s">
        <v>33</v>
      </c>
      <c r="B23" s="32">
        <f t="shared" si="6"/>
        <v>24583.333333333332</v>
      </c>
      <c r="C23" s="32">
        <f t="shared" si="8"/>
        <v>24583.333333333332</v>
      </c>
      <c r="D23" s="32">
        <f t="shared" si="8"/>
        <v>24583.333333333332</v>
      </c>
      <c r="E23" s="32">
        <f t="shared" si="8"/>
        <v>24583.333333333332</v>
      </c>
      <c r="F23" s="32">
        <f t="shared" si="8"/>
        <v>24583.333333333332</v>
      </c>
      <c r="G23" s="32">
        <f t="shared" si="8"/>
        <v>24583.333333333332</v>
      </c>
      <c r="H23" s="32">
        <f t="shared" si="8"/>
        <v>24583.333333333332</v>
      </c>
      <c r="I23" s="32">
        <f t="shared" si="8"/>
        <v>24583.333333333332</v>
      </c>
      <c r="J23" s="32">
        <f t="shared" si="8"/>
        <v>24583.333333333332</v>
      </c>
      <c r="K23" s="32">
        <f t="shared" si="8"/>
        <v>24583.333333333332</v>
      </c>
      <c r="L23" s="32">
        <f t="shared" si="8"/>
        <v>24583.333333333332</v>
      </c>
      <c r="M23" s="32">
        <f t="shared" si="8"/>
        <v>24583.333333333332</v>
      </c>
      <c r="N23" s="31">
        <f>'5yr Budget Projection'!D39</f>
        <v>295000</v>
      </c>
    </row>
    <row r="24" spans="1:14" x14ac:dyDescent="0.35">
      <c r="A24" s="5" t="s">
        <v>34</v>
      </c>
      <c r="B24" s="32">
        <f t="shared" si="6"/>
        <v>4916.666666666667</v>
      </c>
      <c r="C24" s="32">
        <f t="shared" si="8"/>
        <v>4916.666666666667</v>
      </c>
      <c r="D24" s="32">
        <f t="shared" si="8"/>
        <v>4916.666666666667</v>
      </c>
      <c r="E24" s="32">
        <f t="shared" si="8"/>
        <v>4916.666666666667</v>
      </c>
      <c r="F24" s="32">
        <f t="shared" si="8"/>
        <v>4916.666666666667</v>
      </c>
      <c r="G24" s="32">
        <f t="shared" si="8"/>
        <v>4916.666666666667</v>
      </c>
      <c r="H24" s="32">
        <f t="shared" si="8"/>
        <v>4916.666666666667</v>
      </c>
      <c r="I24" s="32">
        <f t="shared" si="8"/>
        <v>4916.666666666667</v>
      </c>
      <c r="J24" s="32">
        <f t="shared" si="8"/>
        <v>4916.666666666667</v>
      </c>
      <c r="K24" s="32">
        <f t="shared" si="8"/>
        <v>4916.666666666667</v>
      </c>
      <c r="L24" s="32">
        <f t="shared" si="8"/>
        <v>4916.666666666667</v>
      </c>
      <c r="M24" s="32">
        <f t="shared" si="8"/>
        <v>4916.666666666667</v>
      </c>
      <c r="N24" s="31">
        <f>'5yr Budget Projection'!D40</f>
        <v>59000</v>
      </c>
    </row>
    <row r="25" spans="1:14" x14ac:dyDescent="0.35">
      <c r="A25" s="5" t="s">
        <v>35</v>
      </c>
      <c r="B25" s="32">
        <f t="shared" si="6"/>
        <v>0</v>
      </c>
      <c r="C25" s="32">
        <f t="shared" si="8"/>
        <v>0</v>
      </c>
      <c r="D25" s="32">
        <f t="shared" si="8"/>
        <v>0</v>
      </c>
      <c r="E25" s="32">
        <f t="shared" si="8"/>
        <v>0</v>
      </c>
      <c r="F25" s="32">
        <f t="shared" si="8"/>
        <v>0</v>
      </c>
      <c r="G25" s="32">
        <f t="shared" si="8"/>
        <v>0</v>
      </c>
      <c r="H25" s="32">
        <f t="shared" si="8"/>
        <v>0</v>
      </c>
      <c r="I25" s="32">
        <f t="shared" si="8"/>
        <v>0</v>
      </c>
      <c r="J25" s="32">
        <f t="shared" si="8"/>
        <v>0</v>
      </c>
      <c r="K25" s="32">
        <f t="shared" si="8"/>
        <v>0</v>
      </c>
      <c r="L25" s="32">
        <f t="shared" si="8"/>
        <v>0</v>
      </c>
      <c r="M25" s="32">
        <f t="shared" si="8"/>
        <v>0</v>
      </c>
      <c r="N25" s="31">
        <f>'5yr Budget Projection'!D41</f>
        <v>0</v>
      </c>
    </row>
    <row r="26" spans="1:14" x14ac:dyDescent="0.35">
      <c r="A26" s="5" t="s">
        <v>36</v>
      </c>
      <c r="B26" s="32">
        <f t="shared" si="6"/>
        <v>0</v>
      </c>
      <c r="C26" s="32">
        <f t="shared" si="8"/>
        <v>0</v>
      </c>
      <c r="D26" s="32">
        <f t="shared" si="8"/>
        <v>0</v>
      </c>
      <c r="E26" s="32">
        <f t="shared" si="8"/>
        <v>0</v>
      </c>
      <c r="F26" s="32">
        <f t="shared" si="8"/>
        <v>0</v>
      </c>
      <c r="G26" s="32">
        <f t="shared" si="8"/>
        <v>0</v>
      </c>
      <c r="H26" s="32">
        <f t="shared" si="8"/>
        <v>0</v>
      </c>
      <c r="I26" s="32">
        <f t="shared" si="8"/>
        <v>0</v>
      </c>
      <c r="J26" s="32">
        <f t="shared" si="8"/>
        <v>0</v>
      </c>
      <c r="K26" s="32">
        <f t="shared" si="8"/>
        <v>0</v>
      </c>
      <c r="L26" s="32">
        <f t="shared" si="8"/>
        <v>0</v>
      </c>
      <c r="M26" s="32">
        <f t="shared" si="8"/>
        <v>0</v>
      </c>
      <c r="N26" s="31">
        <f>'5yr Budget Projection'!D42</f>
        <v>0</v>
      </c>
    </row>
    <row r="27" spans="1:14" x14ac:dyDescent="0.35">
      <c r="A27" s="5" t="s">
        <v>37</v>
      </c>
      <c r="B27" s="32">
        <f t="shared" si="6"/>
        <v>6250</v>
      </c>
      <c r="C27" s="32">
        <f t="shared" si="8"/>
        <v>6250</v>
      </c>
      <c r="D27" s="32">
        <f t="shared" si="8"/>
        <v>6250</v>
      </c>
      <c r="E27" s="32">
        <f t="shared" si="8"/>
        <v>6250</v>
      </c>
      <c r="F27" s="32">
        <f t="shared" si="8"/>
        <v>6250</v>
      </c>
      <c r="G27" s="32">
        <f t="shared" si="8"/>
        <v>6250</v>
      </c>
      <c r="H27" s="32">
        <f t="shared" si="8"/>
        <v>6250</v>
      </c>
      <c r="I27" s="32">
        <f t="shared" si="8"/>
        <v>6250</v>
      </c>
      <c r="J27" s="32">
        <f t="shared" si="8"/>
        <v>6250</v>
      </c>
      <c r="K27" s="32">
        <f t="shared" si="8"/>
        <v>6250</v>
      </c>
      <c r="L27" s="32">
        <f t="shared" si="8"/>
        <v>6250</v>
      </c>
      <c r="M27" s="32">
        <f t="shared" si="8"/>
        <v>6250</v>
      </c>
      <c r="N27" s="31">
        <f>'5yr Budget Projection'!D43</f>
        <v>75000</v>
      </c>
    </row>
    <row r="28" spans="1:14" x14ac:dyDescent="0.35">
      <c r="A28" s="5" t="s">
        <v>38</v>
      </c>
      <c r="B28" s="32">
        <f t="shared" si="6"/>
        <v>4583.333333333333</v>
      </c>
      <c r="C28" s="32">
        <f t="shared" si="8"/>
        <v>4583.333333333333</v>
      </c>
      <c r="D28" s="32">
        <f t="shared" si="8"/>
        <v>4583.333333333333</v>
      </c>
      <c r="E28" s="32">
        <f t="shared" si="8"/>
        <v>4583.333333333333</v>
      </c>
      <c r="F28" s="32">
        <f t="shared" si="8"/>
        <v>4583.333333333333</v>
      </c>
      <c r="G28" s="32">
        <f t="shared" si="8"/>
        <v>4583.333333333333</v>
      </c>
      <c r="H28" s="32">
        <f t="shared" si="8"/>
        <v>4583.333333333333</v>
      </c>
      <c r="I28" s="32">
        <f t="shared" si="8"/>
        <v>4583.333333333333</v>
      </c>
      <c r="J28" s="32">
        <f t="shared" si="8"/>
        <v>4583.333333333333</v>
      </c>
      <c r="K28" s="32">
        <f t="shared" si="8"/>
        <v>4583.333333333333</v>
      </c>
      <c r="L28" s="32">
        <f t="shared" si="8"/>
        <v>4583.333333333333</v>
      </c>
      <c r="M28" s="32">
        <f t="shared" si="8"/>
        <v>4583.333333333333</v>
      </c>
      <c r="N28" s="31">
        <f>'5yr Budget Projection'!D44</f>
        <v>55000</v>
      </c>
    </row>
    <row r="29" spans="1:14" x14ac:dyDescent="0.35">
      <c r="A29" s="5" t="s">
        <v>39</v>
      </c>
      <c r="B29" s="32">
        <f t="shared" si="6"/>
        <v>0</v>
      </c>
      <c r="C29" s="32">
        <f t="shared" si="8"/>
        <v>0</v>
      </c>
      <c r="D29" s="32">
        <f t="shared" si="8"/>
        <v>0</v>
      </c>
      <c r="E29" s="32">
        <f t="shared" si="8"/>
        <v>0</v>
      </c>
      <c r="F29" s="32">
        <f t="shared" si="8"/>
        <v>0</v>
      </c>
      <c r="G29" s="32">
        <f t="shared" si="8"/>
        <v>0</v>
      </c>
      <c r="H29" s="32">
        <f t="shared" si="8"/>
        <v>0</v>
      </c>
      <c r="I29" s="32">
        <f t="shared" si="8"/>
        <v>0</v>
      </c>
      <c r="J29" s="32">
        <f t="shared" si="8"/>
        <v>0</v>
      </c>
      <c r="K29" s="32">
        <f t="shared" si="8"/>
        <v>0</v>
      </c>
      <c r="L29" s="32">
        <f t="shared" si="8"/>
        <v>0</v>
      </c>
      <c r="M29" s="32">
        <f t="shared" si="8"/>
        <v>0</v>
      </c>
      <c r="N29" s="31">
        <f>'5yr Budget Projection'!D45</f>
        <v>0</v>
      </c>
    </row>
    <row r="30" spans="1:14" x14ac:dyDescent="0.35">
      <c r="A30" s="5" t="s">
        <v>40</v>
      </c>
      <c r="B30" s="32">
        <f t="shared" si="6"/>
        <v>0</v>
      </c>
      <c r="C30" s="32">
        <f t="shared" si="8"/>
        <v>0</v>
      </c>
      <c r="D30" s="32">
        <f t="shared" si="8"/>
        <v>0</v>
      </c>
      <c r="E30" s="32">
        <f t="shared" si="8"/>
        <v>0</v>
      </c>
      <c r="F30" s="32">
        <f t="shared" si="8"/>
        <v>0</v>
      </c>
      <c r="G30" s="32">
        <f t="shared" si="8"/>
        <v>0</v>
      </c>
      <c r="H30" s="32">
        <f t="shared" si="8"/>
        <v>0</v>
      </c>
      <c r="I30" s="32">
        <f t="shared" si="8"/>
        <v>0</v>
      </c>
      <c r="J30" s="32">
        <f t="shared" si="8"/>
        <v>0</v>
      </c>
      <c r="K30" s="32">
        <f t="shared" si="8"/>
        <v>0</v>
      </c>
      <c r="L30" s="32">
        <f t="shared" si="8"/>
        <v>0</v>
      </c>
      <c r="M30" s="32">
        <f t="shared" si="8"/>
        <v>0</v>
      </c>
      <c r="N30" s="31">
        <f>'5yr Budget Projection'!D46</f>
        <v>0</v>
      </c>
    </row>
    <row r="31" spans="1:14" x14ac:dyDescent="0.35">
      <c r="A31" s="5" t="s">
        <v>41</v>
      </c>
      <c r="B31" s="32">
        <f t="shared" si="6"/>
        <v>1666.6666666666667</v>
      </c>
      <c r="C31" s="32">
        <f t="shared" si="8"/>
        <v>1666.6666666666667</v>
      </c>
      <c r="D31" s="32">
        <f t="shared" si="8"/>
        <v>1666.6666666666667</v>
      </c>
      <c r="E31" s="32">
        <f t="shared" si="8"/>
        <v>1666.6666666666667</v>
      </c>
      <c r="F31" s="32">
        <f t="shared" si="8"/>
        <v>1666.6666666666667</v>
      </c>
      <c r="G31" s="32">
        <f t="shared" si="8"/>
        <v>1666.6666666666667</v>
      </c>
      <c r="H31" s="32">
        <f t="shared" si="8"/>
        <v>1666.6666666666667</v>
      </c>
      <c r="I31" s="32">
        <f t="shared" si="8"/>
        <v>1666.6666666666667</v>
      </c>
      <c r="J31" s="32">
        <f t="shared" si="8"/>
        <v>1666.6666666666667</v>
      </c>
      <c r="K31" s="32">
        <f t="shared" si="8"/>
        <v>1666.6666666666667</v>
      </c>
      <c r="L31" s="32">
        <f t="shared" si="8"/>
        <v>1666.6666666666667</v>
      </c>
      <c r="M31" s="32">
        <f t="shared" si="8"/>
        <v>1666.6666666666667</v>
      </c>
      <c r="N31" s="31">
        <f>'5yr Budget Projection'!D47</f>
        <v>20000</v>
      </c>
    </row>
    <row r="32" spans="1:14" x14ac:dyDescent="0.35">
      <c r="A32" s="5" t="s">
        <v>42</v>
      </c>
      <c r="B32" s="32">
        <f t="shared" si="6"/>
        <v>0</v>
      </c>
      <c r="C32" s="32">
        <f t="shared" si="8"/>
        <v>0</v>
      </c>
      <c r="D32" s="32">
        <f t="shared" si="8"/>
        <v>0</v>
      </c>
      <c r="E32" s="32">
        <f t="shared" si="8"/>
        <v>0</v>
      </c>
      <c r="F32" s="32">
        <f t="shared" si="8"/>
        <v>0</v>
      </c>
      <c r="G32" s="32">
        <f t="shared" si="8"/>
        <v>0</v>
      </c>
      <c r="H32" s="32">
        <f t="shared" si="8"/>
        <v>0</v>
      </c>
      <c r="I32" s="32">
        <f t="shared" si="8"/>
        <v>0</v>
      </c>
      <c r="J32" s="32">
        <f t="shared" si="8"/>
        <v>0</v>
      </c>
      <c r="K32" s="32">
        <f t="shared" si="8"/>
        <v>0</v>
      </c>
      <c r="L32" s="32">
        <f t="shared" si="8"/>
        <v>0</v>
      </c>
      <c r="M32" s="32">
        <f t="shared" si="8"/>
        <v>0</v>
      </c>
      <c r="N32" s="31">
        <f>'5yr Budget Projection'!D48</f>
        <v>0</v>
      </c>
    </row>
    <row r="33" spans="1:14" x14ac:dyDescent="0.35">
      <c r="A33" s="5" t="s">
        <v>43</v>
      </c>
      <c r="B33" s="32">
        <f t="shared" si="6"/>
        <v>26174.141666666666</v>
      </c>
      <c r="C33" s="32">
        <f t="shared" si="8"/>
        <v>26174.141666666666</v>
      </c>
      <c r="D33" s="32">
        <f t="shared" si="8"/>
        <v>26174.141666666666</v>
      </c>
      <c r="E33" s="32">
        <f t="shared" si="8"/>
        <v>26174.141666666666</v>
      </c>
      <c r="F33" s="32">
        <f t="shared" si="8"/>
        <v>26174.141666666666</v>
      </c>
      <c r="G33" s="32">
        <f t="shared" si="8"/>
        <v>26174.141666666666</v>
      </c>
      <c r="H33" s="32">
        <f t="shared" si="8"/>
        <v>26174.141666666666</v>
      </c>
      <c r="I33" s="32">
        <f t="shared" si="8"/>
        <v>26174.141666666666</v>
      </c>
      <c r="J33" s="32">
        <f t="shared" si="8"/>
        <v>26174.141666666666</v>
      </c>
      <c r="K33" s="32">
        <f t="shared" si="8"/>
        <v>26174.141666666666</v>
      </c>
      <c r="L33" s="32">
        <f t="shared" si="8"/>
        <v>26174.141666666666</v>
      </c>
      <c r="M33" s="32">
        <f t="shared" si="8"/>
        <v>26174.141666666666</v>
      </c>
      <c r="N33" s="31">
        <f>'5yr Budget Projection'!D49</f>
        <v>314089.7</v>
      </c>
    </row>
    <row r="34" spans="1:14" x14ac:dyDescent="0.35">
      <c r="A34" s="5" t="s">
        <v>44</v>
      </c>
      <c r="B34" s="32">
        <f t="shared" si="6"/>
        <v>3150</v>
      </c>
      <c r="C34" s="32">
        <f t="shared" si="8"/>
        <v>3150</v>
      </c>
      <c r="D34" s="32">
        <f t="shared" si="8"/>
        <v>3150</v>
      </c>
      <c r="E34" s="32">
        <f t="shared" si="8"/>
        <v>3150</v>
      </c>
      <c r="F34" s="32">
        <f t="shared" si="8"/>
        <v>3150</v>
      </c>
      <c r="G34" s="32">
        <f t="shared" si="8"/>
        <v>3150</v>
      </c>
      <c r="H34" s="32">
        <f t="shared" si="8"/>
        <v>3150</v>
      </c>
      <c r="I34" s="32">
        <f t="shared" si="8"/>
        <v>3150</v>
      </c>
      <c r="J34" s="32">
        <f t="shared" si="8"/>
        <v>3150</v>
      </c>
      <c r="K34" s="32">
        <f t="shared" si="8"/>
        <v>3150</v>
      </c>
      <c r="L34" s="32">
        <f t="shared" si="8"/>
        <v>3150</v>
      </c>
      <c r="M34" s="32">
        <f t="shared" si="8"/>
        <v>3150</v>
      </c>
      <c r="N34" s="31">
        <f>'5yr Budget Projection'!D50</f>
        <v>37800</v>
      </c>
    </row>
    <row r="35" spans="1:14" x14ac:dyDescent="0.35">
      <c r="A35" s="5" t="s">
        <v>45</v>
      </c>
      <c r="B35" s="32">
        <f t="shared" si="6"/>
        <v>2258.4495574999996</v>
      </c>
      <c r="C35" s="32">
        <f t="shared" si="8"/>
        <v>2258.4495574999996</v>
      </c>
      <c r="D35" s="32">
        <f t="shared" si="8"/>
        <v>2258.4495574999996</v>
      </c>
      <c r="E35" s="32">
        <f t="shared" si="8"/>
        <v>2258.4495574999996</v>
      </c>
      <c r="F35" s="32">
        <f t="shared" si="8"/>
        <v>2258.4495574999996</v>
      </c>
      <c r="G35" s="32">
        <f t="shared" si="8"/>
        <v>2258.4495574999996</v>
      </c>
      <c r="H35" s="32">
        <f t="shared" si="8"/>
        <v>2258.4495574999996</v>
      </c>
      <c r="I35" s="32">
        <f t="shared" si="8"/>
        <v>2258.4495574999996</v>
      </c>
      <c r="J35" s="32">
        <f t="shared" si="8"/>
        <v>2258.4495574999996</v>
      </c>
      <c r="K35" s="32">
        <f t="shared" si="8"/>
        <v>2258.4495574999996</v>
      </c>
      <c r="L35" s="32">
        <f t="shared" si="8"/>
        <v>2258.4495574999996</v>
      </c>
      <c r="M35" s="32">
        <f t="shared" si="8"/>
        <v>2258.4495574999996</v>
      </c>
      <c r="N35" s="31">
        <f>'5yr Budget Projection'!D51</f>
        <v>27101.394689999997</v>
      </c>
    </row>
    <row r="36" spans="1:14" x14ac:dyDescent="0.35">
      <c r="A36" s="5" t="s">
        <v>46</v>
      </c>
      <c r="B36" s="32">
        <f t="shared" si="6"/>
        <v>0</v>
      </c>
      <c r="C36" s="32">
        <f t="shared" si="8"/>
        <v>0</v>
      </c>
      <c r="D36" s="32">
        <f t="shared" si="8"/>
        <v>0</v>
      </c>
      <c r="E36" s="32">
        <f t="shared" si="8"/>
        <v>0</v>
      </c>
      <c r="F36" s="32">
        <f t="shared" si="8"/>
        <v>0</v>
      </c>
      <c r="G36" s="32">
        <f t="shared" si="8"/>
        <v>0</v>
      </c>
      <c r="H36" s="32">
        <f t="shared" si="8"/>
        <v>0</v>
      </c>
      <c r="I36" s="32">
        <f t="shared" si="8"/>
        <v>0</v>
      </c>
      <c r="J36" s="32">
        <f t="shared" si="8"/>
        <v>0</v>
      </c>
      <c r="K36" s="32">
        <f t="shared" si="8"/>
        <v>0</v>
      </c>
      <c r="L36" s="32">
        <f t="shared" si="8"/>
        <v>0</v>
      </c>
      <c r="M36" s="32">
        <f t="shared" si="8"/>
        <v>0</v>
      </c>
      <c r="N36" s="31">
        <f>'5yr Budget Projection'!D52</f>
        <v>0</v>
      </c>
    </row>
    <row r="37" spans="1:14" x14ac:dyDescent="0.35">
      <c r="A37" s="8" t="str">
        <f>'5yr Budget Projection'!A53</f>
        <v>CEO &amp; COO</v>
      </c>
      <c r="B37" s="32">
        <f>'5yr Budget Projection'!D53/12</f>
        <v>3125</v>
      </c>
      <c r="C37" s="32">
        <f t="shared" si="8"/>
        <v>3125</v>
      </c>
      <c r="D37" s="32">
        <f t="shared" si="8"/>
        <v>3125</v>
      </c>
      <c r="E37" s="32">
        <f t="shared" si="8"/>
        <v>3125</v>
      </c>
      <c r="F37" s="32">
        <f t="shared" si="8"/>
        <v>3125</v>
      </c>
      <c r="G37" s="32">
        <f t="shared" si="8"/>
        <v>3125</v>
      </c>
      <c r="H37" s="32">
        <f t="shared" si="8"/>
        <v>3125</v>
      </c>
      <c r="I37" s="32">
        <f t="shared" si="8"/>
        <v>3125</v>
      </c>
      <c r="J37" s="32">
        <f t="shared" si="8"/>
        <v>3125</v>
      </c>
      <c r="K37" s="32">
        <f t="shared" si="8"/>
        <v>3125</v>
      </c>
      <c r="L37" s="32">
        <f t="shared" si="8"/>
        <v>3125</v>
      </c>
      <c r="M37" s="32">
        <f t="shared" si="8"/>
        <v>3125</v>
      </c>
      <c r="N37" s="31">
        <f>SUM(B37:M37)</f>
        <v>37500</v>
      </c>
    </row>
    <row r="38" spans="1:14" x14ac:dyDescent="0.35">
      <c r="A38" s="8" t="str">
        <f>'5yr Budget Projection'!A54</f>
        <v>Assistant Principle</v>
      </c>
      <c r="B38" s="32">
        <f>'5yr Budget Projection'!D54/12</f>
        <v>0</v>
      </c>
      <c r="C38" s="32">
        <f t="shared" si="8"/>
        <v>0</v>
      </c>
      <c r="D38" s="32">
        <f t="shared" si="8"/>
        <v>0</v>
      </c>
      <c r="E38" s="32">
        <f t="shared" si="8"/>
        <v>0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1">
        <f>SUM(B38:M38)</f>
        <v>0</v>
      </c>
    </row>
    <row r="39" spans="1:14" x14ac:dyDescent="0.35">
      <c r="A39" s="7" t="s">
        <v>47</v>
      </c>
      <c r="B39" s="39">
        <f>SUM(B20:B38)</f>
        <v>91832.591224166667</v>
      </c>
      <c r="C39" s="39">
        <f>SUM(C20:C38)</f>
        <v>91832.591224166667</v>
      </c>
      <c r="D39" s="39">
        <f t="shared" ref="D39:N39" si="9">SUM(D20:D38)</f>
        <v>91832.591224166667</v>
      </c>
      <c r="E39" s="39">
        <f t="shared" si="9"/>
        <v>91832.591224166667</v>
      </c>
      <c r="F39" s="39">
        <f t="shared" si="9"/>
        <v>91832.591224166667</v>
      </c>
      <c r="G39" s="39">
        <f t="shared" si="9"/>
        <v>91832.591224166667</v>
      </c>
      <c r="H39" s="39">
        <f t="shared" si="9"/>
        <v>91832.591224166667</v>
      </c>
      <c r="I39" s="39">
        <f t="shared" si="9"/>
        <v>91832.591224166667</v>
      </c>
      <c r="J39" s="39">
        <f t="shared" si="9"/>
        <v>91832.591224166667</v>
      </c>
      <c r="K39" s="39">
        <f t="shared" si="9"/>
        <v>91832.591224166667</v>
      </c>
      <c r="L39" s="39">
        <f t="shared" si="9"/>
        <v>91832.591224166667</v>
      </c>
      <c r="M39" s="39">
        <f t="shared" si="9"/>
        <v>91832.591224166667</v>
      </c>
      <c r="N39" s="39">
        <f t="shared" si="9"/>
        <v>1101991.0946899999</v>
      </c>
    </row>
    <row r="40" spans="1:14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35">
      <c r="A41" s="54" t="s">
        <v>48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x14ac:dyDescent="0.35">
      <c r="A42" s="52" t="s">
        <v>49</v>
      </c>
      <c r="B42" s="53">
        <f>'5yr Budget Projection'!D58/12</f>
        <v>687.5</v>
      </c>
      <c r="C42" s="53">
        <f>B42</f>
        <v>687.5</v>
      </c>
      <c r="D42" s="53">
        <f t="shared" ref="D42:M42" si="10">C42</f>
        <v>687.5</v>
      </c>
      <c r="E42" s="53">
        <f t="shared" si="10"/>
        <v>687.5</v>
      </c>
      <c r="F42" s="53">
        <f t="shared" si="10"/>
        <v>687.5</v>
      </c>
      <c r="G42" s="53">
        <f t="shared" si="10"/>
        <v>687.5</v>
      </c>
      <c r="H42" s="53">
        <f t="shared" si="10"/>
        <v>687.5</v>
      </c>
      <c r="I42" s="53">
        <f t="shared" si="10"/>
        <v>687.5</v>
      </c>
      <c r="J42" s="53">
        <f t="shared" si="10"/>
        <v>687.5</v>
      </c>
      <c r="K42" s="53">
        <f t="shared" si="10"/>
        <v>687.5</v>
      </c>
      <c r="L42" s="53">
        <f t="shared" si="10"/>
        <v>687.5</v>
      </c>
      <c r="M42" s="53">
        <f t="shared" si="10"/>
        <v>687.5</v>
      </c>
      <c r="N42" s="42">
        <f>SUM(B42:M42)</f>
        <v>8250</v>
      </c>
    </row>
    <row r="43" spans="1:14" x14ac:dyDescent="0.35">
      <c r="A43" s="5" t="s">
        <v>50</v>
      </c>
      <c r="B43" s="32">
        <f>'5yr Budget Projection'!D59/12</f>
        <v>416.66666666666669</v>
      </c>
      <c r="C43" s="32">
        <f t="shared" ref="C43:M54" si="11">B43</f>
        <v>416.66666666666669</v>
      </c>
      <c r="D43" s="32">
        <f t="shared" si="11"/>
        <v>416.66666666666669</v>
      </c>
      <c r="E43" s="32">
        <f t="shared" si="11"/>
        <v>416.66666666666669</v>
      </c>
      <c r="F43" s="32">
        <f t="shared" si="11"/>
        <v>416.66666666666669</v>
      </c>
      <c r="G43" s="32">
        <f t="shared" si="11"/>
        <v>416.66666666666669</v>
      </c>
      <c r="H43" s="32">
        <f t="shared" si="11"/>
        <v>416.66666666666669</v>
      </c>
      <c r="I43" s="32">
        <f t="shared" si="11"/>
        <v>416.66666666666669</v>
      </c>
      <c r="J43" s="32">
        <f t="shared" si="11"/>
        <v>416.66666666666669</v>
      </c>
      <c r="K43" s="32">
        <f t="shared" si="11"/>
        <v>416.66666666666669</v>
      </c>
      <c r="L43" s="32">
        <f t="shared" si="11"/>
        <v>416.66666666666669</v>
      </c>
      <c r="M43" s="32">
        <f t="shared" si="11"/>
        <v>416.66666666666669</v>
      </c>
      <c r="N43" s="31">
        <f t="shared" ref="N43:N54" si="12">SUM(B43:M43)</f>
        <v>5000</v>
      </c>
    </row>
    <row r="44" spans="1:14" x14ac:dyDescent="0.35">
      <c r="A44" s="5" t="s">
        <v>51</v>
      </c>
      <c r="B44" s="32">
        <f>'5yr Budget Projection'!D60/12</f>
        <v>0</v>
      </c>
      <c r="C44" s="32">
        <f t="shared" si="11"/>
        <v>0</v>
      </c>
      <c r="D44" s="32">
        <f t="shared" si="11"/>
        <v>0</v>
      </c>
      <c r="E44" s="32">
        <f t="shared" si="11"/>
        <v>0</v>
      </c>
      <c r="F44" s="32">
        <f t="shared" si="11"/>
        <v>0</v>
      </c>
      <c r="G44" s="32">
        <f t="shared" si="11"/>
        <v>0</v>
      </c>
      <c r="H44" s="32">
        <f t="shared" si="11"/>
        <v>0</v>
      </c>
      <c r="I44" s="32">
        <f t="shared" si="11"/>
        <v>0</v>
      </c>
      <c r="J44" s="32">
        <f t="shared" si="11"/>
        <v>0</v>
      </c>
      <c r="K44" s="32">
        <f t="shared" si="11"/>
        <v>0</v>
      </c>
      <c r="L44" s="32">
        <f t="shared" si="11"/>
        <v>0</v>
      </c>
      <c r="M44" s="32">
        <f t="shared" si="11"/>
        <v>0</v>
      </c>
      <c r="N44" s="31">
        <f t="shared" si="12"/>
        <v>0</v>
      </c>
    </row>
    <row r="45" spans="1:14" x14ac:dyDescent="0.35">
      <c r="A45" s="5" t="s">
        <v>52</v>
      </c>
      <c r="B45" s="32">
        <f>'5yr Budget Projection'!D61/12</f>
        <v>0</v>
      </c>
      <c r="C45" s="32">
        <f t="shared" si="11"/>
        <v>0</v>
      </c>
      <c r="D45" s="32">
        <f t="shared" si="11"/>
        <v>0</v>
      </c>
      <c r="E45" s="32">
        <f t="shared" si="11"/>
        <v>0</v>
      </c>
      <c r="F45" s="32">
        <f t="shared" si="11"/>
        <v>0</v>
      </c>
      <c r="G45" s="32">
        <f t="shared" si="11"/>
        <v>0</v>
      </c>
      <c r="H45" s="32">
        <f t="shared" si="11"/>
        <v>0</v>
      </c>
      <c r="I45" s="32">
        <f t="shared" si="11"/>
        <v>0</v>
      </c>
      <c r="J45" s="32">
        <f t="shared" si="11"/>
        <v>0</v>
      </c>
      <c r="K45" s="32">
        <f t="shared" si="11"/>
        <v>0</v>
      </c>
      <c r="L45" s="32">
        <f t="shared" si="11"/>
        <v>0</v>
      </c>
      <c r="M45" s="32">
        <f t="shared" si="11"/>
        <v>0</v>
      </c>
      <c r="N45" s="31">
        <f t="shared" si="12"/>
        <v>0</v>
      </c>
    </row>
    <row r="46" spans="1:14" x14ac:dyDescent="0.35">
      <c r="A46" s="5" t="s">
        <v>53</v>
      </c>
      <c r="B46" s="32">
        <f>'5yr Budget Projection'!D62/12</f>
        <v>0</v>
      </c>
      <c r="C46" s="32">
        <f t="shared" si="11"/>
        <v>0</v>
      </c>
      <c r="D46" s="32">
        <f t="shared" si="11"/>
        <v>0</v>
      </c>
      <c r="E46" s="32">
        <f t="shared" si="11"/>
        <v>0</v>
      </c>
      <c r="F46" s="32">
        <f t="shared" si="11"/>
        <v>0</v>
      </c>
      <c r="G46" s="32">
        <f t="shared" si="11"/>
        <v>0</v>
      </c>
      <c r="H46" s="32">
        <f t="shared" si="11"/>
        <v>0</v>
      </c>
      <c r="I46" s="32">
        <f t="shared" si="11"/>
        <v>0</v>
      </c>
      <c r="J46" s="32">
        <f t="shared" si="11"/>
        <v>0</v>
      </c>
      <c r="K46" s="32">
        <f t="shared" si="11"/>
        <v>0</v>
      </c>
      <c r="L46" s="32">
        <f t="shared" si="11"/>
        <v>0</v>
      </c>
      <c r="M46" s="32">
        <f t="shared" si="11"/>
        <v>0</v>
      </c>
      <c r="N46" s="31">
        <f t="shared" si="12"/>
        <v>0</v>
      </c>
    </row>
    <row r="47" spans="1:14" x14ac:dyDescent="0.35">
      <c r="A47" s="5" t="s">
        <v>54</v>
      </c>
      <c r="B47" s="32">
        <f>'5yr Budget Projection'!D63/12</f>
        <v>416.66666666666669</v>
      </c>
      <c r="C47" s="32">
        <f t="shared" si="11"/>
        <v>416.66666666666669</v>
      </c>
      <c r="D47" s="32">
        <f t="shared" si="11"/>
        <v>416.66666666666669</v>
      </c>
      <c r="E47" s="32">
        <f t="shared" si="11"/>
        <v>416.66666666666669</v>
      </c>
      <c r="F47" s="32">
        <f t="shared" si="11"/>
        <v>416.66666666666669</v>
      </c>
      <c r="G47" s="32">
        <f t="shared" si="11"/>
        <v>416.66666666666669</v>
      </c>
      <c r="H47" s="32">
        <f t="shared" si="11"/>
        <v>416.66666666666669</v>
      </c>
      <c r="I47" s="32">
        <f t="shared" si="11"/>
        <v>416.66666666666669</v>
      </c>
      <c r="J47" s="32">
        <f t="shared" si="11"/>
        <v>416.66666666666669</v>
      </c>
      <c r="K47" s="32">
        <f t="shared" si="11"/>
        <v>416.66666666666669</v>
      </c>
      <c r="L47" s="32">
        <f t="shared" si="11"/>
        <v>416.66666666666669</v>
      </c>
      <c r="M47" s="32">
        <f t="shared" si="11"/>
        <v>416.66666666666669</v>
      </c>
      <c r="N47" s="31">
        <f t="shared" si="12"/>
        <v>5000</v>
      </c>
    </row>
    <row r="48" spans="1:14" x14ac:dyDescent="0.35">
      <c r="A48" s="5" t="s">
        <v>55</v>
      </c>
      <c r="B48" s="32">
        <f>'5yr Budget Projection'!D64/12</f>
        <v>41.666666666666664</v>
      </c>
      <c r="C48" s="32">
        <f t="shared" si="11"/>
        <v>41.666666666666664</v>
      </c>
      <c r="D48" s="32">
        <f t="shared" si="11"/>
        <v>41.666666666666664</v>
      </c>
      <c r="E48" s="32">
        <f t="shared" si="11"/>
        <v>41.666666666666664</v>
      </c>
      <c r="F48" s="32">
        <f t="shared" si="11"/>
        <v>41.666666666666664</v>
      </c>
      <c r="G48" s="32">
        <f t="shared" si="11"/>
        <v>41.666666666666664</v>
      </c>
      <c r="H48" s="32">
        <f t="shared" si="11"/>
        <v>41.666666666666664</v>
      </c>
      <c r="I48" s="32">
        <f t="shared" si="11"/>
        <v>41.666666666666664</v>
      </c>
      <c r="J48" s="32">
        <f t="shared" si="11"/>
        <v>41.666666666666664</v>
      </c>
      <c r="K48" s="32">
        <f t="shared" si="11"/>
        <v>41.666666666666664</v>
      </c>
      <c r="L48" s="32">
        <f t="shared" si="11"/>
        <v>41.666666666666664</v>
      </c>
      <c r="M48" s="32">
        <f t="shared" si="11"/>
        <v>41.666666666666664</v>
      </c>
      <c r="N48" s="31">
        <f t="shared" si="12"/>
        <v>500.00000000000006</v>
      </c>
    </row>
    <row r="49" spans="1:14" x14ac:dyDescent="0.35">
      <c r="A49" s="5" t="s">
        <v>56</v>
      </c>
      <c r="B49" s="32">
        <f>'5yr Budget Projection'!D65/12</f>
        <v>41.666666666666664</v>
      </c>
      <c r="C49" s="32">
        <f t="shared" si="11"/>
        <v>41.666666666666664</v>
      </c>
      <c r="D49" s="32">
        <f t="shared" si="11"/>
        <v>41.666666666666664</v>
      </c>
      <c r="E49" s="32">
        <f t="shared" si="11"/>
        <v>41.666666666666664</v>
      </c>
      <c r="F49" s="32">
        <f t="shared" si="11"/>
        <v>41.666666666666664</v>
      </c>
      <c r="G49" s="32">
        <f t="shared" si="11"/>
        <v>41.666666666666664</v>
      </c>
      <c r="H49" s="32">
        <f t="shared" si="11"/>
        <v>41.666666666666664</v>
      </c>
      <c r="I49" s="32">
        <f t="shared" si="11"/>
        <v>41.666666666666664</v>
      </c>
      <c r="J49" s="32">
        <f t="shared" si="11"/>
        <v>41.666666666666664</v>
      </c>
      <c r="K49" s="32">
        <f t="shared" si="11"/>
        <v>41.666666666666664</v>
      </c>
      <c r="L49" s="32">
        <f t="shared" si="11"/>
        <v>41.666666666666664</v>
      </c>
      <c r="M49" s="32">
        <f t="shared" si="11"/>
        <v>41.666666666666664</v>
      </c>
      <c r="N49" s="31">
        <f t="shared" si="12"/>
        <v>500.00000000000006</v>
      </c>
    </row>
    <row r="50" spans="1:14" x14ac:dyDescent="0.35">
      <c r="A50" s="5" t="s">
        <v>57</v>
      </c>
      <c r="B50" s="32">
        <f>'5yr Budget Projection'!D66/12</f>
        <v>1250</v>
      </c>
      <c r="C50" s="32">
        <f t="shared" si="11"/>
        <v>1250</v>
      </c>
      <c r="D50" s="32">
        <f t="shared" ref="D50:G50" si="13">C50</f>
        <v>1250</v>
      </c>
      <c r="E50" s="32">
        <f t="shared" si="13"/>
        <v>1250</v>
      </c>
      <c r="F50" s="32">
        <f t="shared" si="13"/>
        <v>1250</v>
      </c>
      <c r="G50" s="32">
        <f t="shared" si="13"/>
        <v>1250</v>
      </c>
      <c r="H50" s="32">
        <f t="shared" ref="H50:M50" si="14">G50</f>
        <v>1250</v>
      </c>
      <c r="I50" s="32">
        <f t="shared" si="14"/>
        <v>1250</v>
      </c>
      <c r="J50" s="32">
        <f t="shared" si="14"/>
        <v>1250</v>
      </c>
      <c r="K50" s="32">
        <f t="shared" si="14"/>
        <v>1250</v>
      </c>
      <c r="L50" s="32">
        <f t="shared" si="14"/>
        <v>1250</v>
      </c>
      <c r="M50" s="32">
        <f t="shared" si="14"/>
        <v>1250</v>
      </c>
      <c r="N50" s="31">
        <f t="shared" si="12"/>
        <v>15000</v>
      </c>
    </row>
    <row r="51" spans="1:14" x14ac:dyDescent="0.35">
      <c r="A51" s="5" t="s">
        <v>58</v>
      </c>
      <c r="B51" s="32">
        <f>'5yr Budget Projection'!D67/12</f>
        <v>208.33333333333334</v>
      </c>
      <c r="C51" s="40">
        <f>B51</f>
        <v>208.33333333333334</v>
      </c>
      <c r="D51" s="40">
        <f t="shared" ref="D51:G51" si="15">C51</f>
        <v>208.33333333333334</v>
      </c>
      <c r="E51" s="40">
        <f t="shared" si="15"/>
        <v>208.33333333333334</v>
      </c>
      <c r="F51" s="40">
        <f t="shared" si="15"/>
        <v>208.33333333333334</v>
      </c>
      <c r="G51" s="40">
        <f t="shared" si="15"/>
        <v>208.33333333333334</v>
      </c>
      <c r="H51" s="40">
        <f t="shared" ref="H51:M51" si="16">G51</f>
        <v>208.33333333333334</v>
      </c>
      <c r="I51" s="40">
        <f t="shared" si="16"/>
        <v>208.33333333333334</v>
      </c>
      <c r="J51" s="40">
        <f t="shared" si="16"/>
        <v>208.33333333333334</v>
      </c>
      <c r="K51" s="40">
        <f t="shared" si="16"/>
        <v>208.33333333333334</v>
      </c>
      <c r="L51" s="40">
        <f t="shared" si="16"/>
        <v>208.33333333333334</v>
      </c>
      <c r="M51" s="40">
        <f t="shared" si="16"/>
        <v>208.33333333333334</v>
      </c>
      <c r="N51" s="31">
        <f t="shared" si="12"/>
        <v>2500</v>
      </c>
    </row>
    <row r="52" spans="1:14" x14ac:dyDescent="0.35">
      <c r="A52" s="5" t="s">
        <v>59</v>
      </c>
      <c r="B52" s="32">
        <f>'5yr Budget Projection'!D68/12</f>
        <v>125</v>
      </c>
      <c r="C52" s="32">
        <f t="shared" si="11"/>
        <v>125</v>
      </c>
      <c r="D52" s="32">
        <f t="shared" si="11"/>
        <v>125</v>
      </c>
      <c r="E52" s="32">
        <f t="shared" si="11"/>
        <v>125</v>
      </c>
      <c r="F52" s="32">
        <f t="shared" si="11"/>
        <v>125</v>
      </c>
      <c r="G52" s="32">
        <f t="shared" si="11"/>
        <v>125</v>
      </c>
      <c r="H52" s="32">
        <f t="shared" si="11"/>
        <v>125</v>
      </c>
      <c r="I52" s="32">
        <f t="shared" si="11"/>
        <v>125</v>
      </c>
      <c r="J52" s="32">
        <f t="shared" si="11"/>
        <v>125</v>
      </c>
      <c r="K52" s="32">
        <f t="shared" si="11"/>
        <v>125</v>
      </c>
      <c r="L52" s="32">
        <f t="shared" si="11"/>
        <v>125</v>
      </c>
      <c r="M52" s="32">
        <f t="shared" si="11"/>
        <v>125</v>
      </c>
      <c r="N52" s="31">
        <f t="shared" si="12"/>
        <v>1500</v>
      </c>
    </row>
    <row r="53" spans="1:14" x14ac:dyDescent="0.35">
      <c r="A53" s="8"/>
      <c r="B53" s="32">
        <f>'5yr Budget Projection'!D69</f>
        <v>0</v>
      </c>
      <c r="C53" s="32">
        <f t="shared" si="11"/>
        <v>0</v>
      </c>
      <c r="D53" s="32">
        <f t="shared" si="11"/>
        <v>0</v>
      </c>
      <c r="E53" s="32">
        <f t="shared" si="11"/>
        <v>0</v>
      </c>
      <c r="F53" s="32">
        <f t="shared" si="11"/>
        <v>0</v>
      </c>
      <c r="G53" s="32">
        <f t="shared" si="11"/>
        <v>0</v>
      </c>
      <c r="H53" s="32">
        <f t="shared" si="11"/>
        <v>0</v>
      </c>
      <c r="I53" s="32">
        <f t="shared" si="11"/>
        <v>0</v>
      </c>
      <c r="J53" s="32">
        <f t="shared" si="11"/>
        <v>0</v>
      </c>
      <c r="K53" s="32">
        <f t="shared" si="11"/>
        <v>0</v>
      </c>
      <c r="L53" s="32">
        <f t="shared" si="11"/>
        <v>0</v>
      </c>
      <c r="M53" s="32">
        <f t="shared" si="11"/>
        <v>0</v>
      </c>
      <c r="N53" s="31">
        <f t="shared" si="12"/>
        <v>0</v>
      </c>
    </row>
    <row r="54" spans="1:14" x14ac:dyDescent="0.35">
      <c r="A54" s="8"/>
      <c r="B54" s="32">
        <f>'5yr Budget Projection'!D70</f>
        <v>0</v>
      </c>
      <c r="C54" s="32">
        <f t="shared" si="11"/>
        <v>0</v>
      </c>
      <c r="D54" s="32">
        <f t="shared" si="11"/>
        <v>0</v>
      </c>
      <c r="E54" s="32">
        <f t="shared" si="11"/>
        <v>0</v>
      </c>
      <c r="F54" s="32">
        <f t="shared" si="11"/>
        <v>0</v>
      </c>
      <c r="G54" s="32">
        <f t="shared" si="11"/>
        <v>0</v>
      </c>
      <c r="H54" s="32">
        <f t="shared" si="11"/>
        <v>0</v>
      </c>
      <c r="I54" s="32">
        <f t="shared" si="11"/>
        <v>0</v>
      </c>
      <c r="J54" s="32">
        <f t="shared" si="11"/>
        <v>0</v>
      </c>
      <c r="K54" s="32">
        <f t="shared" si="11"/>
        <v>0</v>
      </c>
      <c r="L54" s="32">
        <f t="shared" si="11"/>
        <v>0</v>
      </c>
      <c r="M54" s="32">
        <f t="shared" si="11"/>
        <v>0</v>
      </c>
      <c r="N54" s="31">
        <f t="shared" si="12"/>
        <v>0</v>
      </c>
    </row>
    <row r="55" spans="1:14" x14ac:dyDescent="0.35">
      <c r="A55" s="7" t="s">
        <v>60</v>
      </c>
      <c r="B55" s="39">
        <f>SUM(B42:B54)</f>
        <v>3187.5000000000005</v>
      </c>
      <c r="C55" s="39">
        <f t="shared" ref="C55:N55" si="17">SUM(C42:C54)</f>
        <v>3187.5000000000005</v>
      </c>
      <c r="D55" s="39">
        <f t="shared" si="17"/>
        <v>3187.5000000000005</v>
      </c>
      <c r="E55" s="39">
        <f t="shared" si="17"/>
        <v>3187.5000000000005</v>
      </c>
      <c r="F55" s="39">
        <f t="shared" si="17"/>
        <v>3187.5000000000005</v>
      </c>
      <c r="G55" s="39">
        <f t="shared" si="17"/>
        <v>3187.5000000000005</v>
      </c>
      <c r="H55" s="39">
        <f t="shared" si="17"/>
        <v>3187.5000000000005</v>
      </c>
      <c r="I55" s="39">
        <f t="shared" si="17"/>
        <v>3187.5000000000005</v>
      </c>
      <c r="J55" s="39">
        <f t="shared" si="17"/>
        <v>3187.5000000000005</v>
      </c>
      <c r="K55" s="39">
        <f t="shared" si="17"/>
        <v>3187.5000000000005</v>
      </c>
      <c r="L55" s="39">
        <f t="shared" si="17"/>
        <v>3187.5000000000005</v>
      </c>
      <c r="M55" s="39">
        <f t="shared" si="17"/>
        <v>3187.5000000000005</v>
      </c>
      <c r="N55" s="39">
        <f t="shared" si="17"/>
        <v>38250</v>
      </c>
    </row>
    <row r="56" spans="1:14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35">
      <c r="A57" s="54" t="s">
        <v>61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x14ac:dyDescent="0.35">
      <c r="A58" s="52" t="s">
        <v>62</v>
      </c>
      <c r="B58" s="53">
        <f>'5yr Budget Projection'!D74/12</f>
        <v>0</v>
      </c>
      <c r="C58" s="53">
        <f>B58</f>
        <v>0</v>
      </c>
      <c r="D58" s="53">
        <f t="shared" ref="D58:M58" si="18">C58</f>
        <v>0</v>
      </c>
      <c r="E58" s="53">
        <f t="shared" si="18"/>
        <v>0</v>
      </c>
      <c r="F58" s="53">
        <f t="shared" si="18"/>
        <v>0</v>
      </c>
      <c r="G58" s="53">
        <f t="shared" si="18"/>
        <v>0</v>
      </c>
      <c r="H58" s="53">
        <f t="shared" si="18"/>
        <v>0</v>
      </c>
      <c r="I58" s="53">
        <f t="shared" si="18"/>
        <v>0</v>
      </c>
      <c r="J58" s="53">
        <f t="shared" si="18"/>
        <v>0</v>
      </c>
      <c r="K58" s="53">
        <f t="shared" si="18"/>
        <v>0</v>
      </c>
      <c r="L58" s="53">
        <f t="shared" si="18"/>
        <v>0</v>
      </c>
      <c r="M58" s="53">
        <f t="shared" si="18"/>
        <v>0</v>
      </c>
      <c r="N58" s="42">
        <f>SUM(B58:M58)</f>
        <v>0</v>
      </c>
    </row>
    <row r="59" spans="1:14" x14ac:dyDescent="0.35">
      <c r="A59" s="5" t="s">
        <v>63</v>
      </c>
      <c r="B59" s="32">
        <f>'5yr Budget Projection'!D75/12</f>
        <v>0</v>
      </c>
      <c r="C59" s="32">
        <f t="shared" ref="C59:M85" si="19">B59</f>
        <v>0</v>
      </c>
      <c r="D59" s="32">
        <f t="shared" si="19"/>
        <v>0</v>
      </c>
      <c r="E59" s="32">
        <f t="shared" si="19"/>
        <v>0</v>
      </c>
      <c r="F59" s="32">
        <f t="shared" si="19"/>
        <v>0</v>
      </c>
      <c r="G59" s="32">
        <f t="shared" si="19"/>
        <v>0</v>
      </c>
      <c r="H59" s="32">
        <f t="shared" si="19"/>
        <v>0</v>
      </c>
      <c r="I59" s="32">
        <f t="shared" si="19"/>
        <v>0</v>
      </c>
      <c r="J59" s="32">
        <f t="shared" si="19"/>
        <v>0</v>
      </c>
      <c r="K59" s="32">
        <f t="shared" si="19"/>
        <v>0</v>
      </c>
      <c r="L59" s="32">
        <f t="shared" si="19"/>
        <v>0</v>
      </c>
      <c r="M59" s="32">
        <f t="shared" si="19"/>
        <v>0</v>
      </c>
      <c r="N59" s="31">
        <f t="shared" ref="N59:N83" si="20">SUM(B59:M59)</f>
        <v>0</v>
      </c>
    </row>
    <row r="60" spans="1:14" x14ac:dyDescent="0.35">
      <c r="A60" s="5" t="s">
        <v>64</v>
      </c>
      <c r="B60" s="32">
        <f>'5yr Budget Projection'!D76/12</f>
        <v>41.666666666666664</v>
      </c>
      <c r="C60" s="32">
        <f t="shared" si="19"/>
        <v>41.666666666666664</v>
      </c>
      <c r="D60" s="32">
        <f t="shared" si="19"/>
        <v>41.666666666666664</v>
      </c>
      <c r="E60" s="32">
        <f t="shared" si="19"/>
        <v>41.666666666666664</v>
      </c>
      <c r="F60" s="32">
        <f t="shared" si="19"/>
        <v>41.666666666666664</v>
      </c>
      <c r="G60" s="32">
        <f t="shared" si="19"/>
        <v>41.666666666666664</v>
      </c>
      <c r="H60" s="32">
        <f t="shared" si="19"/>
        <v>41.666666666666664</v>
      </c>
      <c r="I60" s="32">
        <f t="shared" si="19"/>
        <v>41.666666666666664</v>
      </c>
      <c r="J60" s="32">
        <f t="shared" si="19"/>
        <v>41.666666666666664</v>
      </c>
      <c r="K60" s="32">
        <f t="shared" si="19"/>
        <v>41.666666666666664</v>
      </c>
      <c r="L60" s="32">
        <f t="shared" si="19"/>
        <v>41.666666666666664</v>
      </c>
      <c r="M60" s="32">
        <f t="shared" si="19"/>
        <v>41.666666666666664</v>
      </c>
      <c r="N60" s="31">
        <f t="shared" si="20"/>
        <v>500.00000000000006</v>
      </c>
    </row>
    <row r="61" spans="1:14" x14ac:dyDescent="0.35">
      <c r="A61" s="5" t="s">
        <v>65</v>
      </c>
      <c r="B61" s="32">
        <f>'5yr Budget Projection'!D77/12</f>
        <v>41.666666666666664</v>
      </c>
      <c r="C61" s="32">
        <f t="shared" si="19"/>
        <v>41.666666666666664</v>
      </c>
      <c r="D61" s="32">
        <f t="shared" si="19"/>
        <v>41.666666666666664</v>
      </c>
      <c r="E61" s="32">
        <f t="shared" si="19"/>
        <v>41.666666666666664</v>
      </c>
      <c r="F61" s="32">
        <f t="shared" si="19"/>
        <v>41.666666666666664</v>
      </c>
      <c r="G61" s="32">
        <f t="shared" si="19"/>
        <v>41.666666666666664</v>
      </c>
      <c r="H61" s="32">
        <f t="shared" si="19"/>
        <v>41.666666666666664</v>
      </c>
      <c r="I61" s="32">
        <f t="shared" si="19"/>
        <v>41.666666666666664</v>
      </c>
      <c r="J61" s="32">
        <f t="shared" si="19"/>
        <v>41.666666666666664</v>
      </c>
      <c r="K61" s="32">
        <f t="shared" si="19"/>
        <v>41.666666666666664</v>
      </c>
      <c r="L61" s="32">
        <f t="shared" si="19"/>
        <v>41.666666666666664</v>
      </c>
      <c r="M61" s="32">
        <f t="shared" si="19"/>
        <v>41.666666666666664</v>
      </c>
      <c r="N61" s="31">
        <f t="shared" si="20"/>
        <v>500.00000000000006</v>
      </c>
    </row>
    <row r="62" spans="1:14" x14ac:dyDescent="0.35">
      <c r="A62" s="5" t="s">
        <v>66</v>
      </c>
      <c r="B62" s="32">
        <f>'5yr Budget Projection'!D78/12</f>
        <v>0</v>
      </c>
      <c r="C62" s="32">
        <f t="shared" si="19"/>
        <v>0</v>
      </c>
      <c r="D62" s="32">
        <f t="shared" si="19"/>
        <v>0</v>
      </c>
      <c r="E62" s="32">
        <f t="shared" si="19"/>
        <v>0</v>
      </c>
      <c r="F62" s="32">
        <f t="shared" si="19"/>
        <v>0</v>
      </c>
      <c r="G62" s="32">
        <f t="shared" si="19"/>
        <v>0</v>
      </c>
      <c r="H62" s="32">
        <f t="shared" si="19"/>
        <v>0</v>
      </c>
      <c r="I62" s="32">
        <f t="shared" si="19"/>
        <v>0</v>
      </c>
      <c r="J62" s="32">
        <f t="shared" si="19"/>
        <v>0</v>
      </c>
      <c r="K62" s="32">
        <f t="shared" si="19"/>
        <v>0</v>
      </c>
      <c r="L62" s="32">
        <f t="shared" si="19"/>
        <v>0</v>
      </c>
      <c r="M62" s="32">
        <f t="shared" si="19"/>
        <v>0</v>
      </c>
      <c r="N62" s="31">
        <f t="shared" si="20"/>
        <v>0</v>
      </c>
    </row>
    <row r="63" spans="1:14" x14ac:dyDescent="0.35">
      <c r="A63" s="5" t="s">
        <v>67</v>
      </c>
      <c r="B63" s="32">
        <f>'5yr Budget Projection'!D79/12</f>
        <v>0</v>
      </c>
      <c r="C63" s="32">
        <f t="shared" si="19"/>
        <v>0</v>
      </c>
      <c r="D63" s="32">
        <f t="shared" si="19"/>
        <v>0</v>
      </c>
      <c r="E63" s="32">
        <f t="shared" si="19"/>
        <v>0</v>
      </c>
      <c r="F63" s="32">
        <f t="shared" si="19"/>
        <v>0</v>
      </c>
      <c r="G63" s="32">
        <f t="shared" si="19"/>
        <v>0</v>
      </c>
      <c r="H63" s="32">
        <f t="shared" si="19"/>
        <v>0</v>
      </c>
      <c r="I63" s="32">
        <f t="shared" si="19"/>
        <v>0</v>
      </c>
      <c r="J63" s="32">
        <f t="shared" si="19"/>
        <v>0</v>
      </c>
      <c r="K63" s="32">
        <f t="shared" si="19"/>
        <v>0</v>
      </c>
      <c r="L63" s="32">
        <f t="shared" si="19"/>
        <v>0</v>
      </c>
      <c r="M63" s="32">
        <f t="shared" si="19"/>
        <v>0</v>
      </c>
      <c r="N63" s="31">
        <f t="shared" si="20"/>
        <v>0</v>
      </c>
    </row>
    <row r="64" spans="1:14" x14ac:dyDescent="0.35">
      <c r="A64" s="5" t="s">
        <v>68</v>
      </c>
      <c r="B64" s="32">
        <f>'5yr Budget Projection'!D80/12</f>
        <v>41.666666666666664</v>
      </c>
      <c r="C64" s="32">
        <f t="shared" si="19"/>
        <v>41.666666666666664</v>
      </c>
      <c r="D64" s="32">
        <f t="shared" si="19"/>
        <v>41.666666666666664</v>
      </c>
      <c r="E64" s="32">
        <f t="shared" si="19"/>
        <v>41.666666666666664</v>
      </c>
      <c r="F64" s="32">
        <f t="shared" si="19"/>
        <v>41.666666666666664</v>
      </c>
      <c r="G64" s="32">
        <f t="shared" si="19"/>
        <v>41.666666666666664</v>
      </c>
      <c r="H64" s="32">
        <f t="shared" si="19"/>
        <v>41.666666666666664</v>
      </c>
      <c r="I64" s="32">
        <f t="shared" si="19"/>
        <v>41.666666666666664</v>
      </c>
      <c r="J64" s="32">
        <f t="shared" si="19"/>
        <v>41.666666666666664</v>
      </c>
      <c r="K64" s="32">
        <f t="shared" si="19"/>
        <v>41.666666666666664</v>
      </c>
      <c r="L64" s="32">
        <f t="shared" si="19"/>
        <v>41.666666666666664</v>
      </c>
      <c r="M64" s="32">
        <f t="shared" si="19"/>
        <v>41.666666666666664</v>
      </c>
      <c r="N64" s="31">
        <f t="shared" si="20"/>
        <v>500.00000000000006</v>
      </c>
    </row>
    <row r="65" spans="1:14" x14ac:dyDescent="0.35">
      <c r="A65" s="5" t="s">
        <v>69</v>
      </c>
      <c r="B65" s="32">
        <f>'5yr Budget Projection'!D81/12</f>
        <v>3750</v>
      </c>
      <c r="C65" s="32">
        <f t="shared" si="19"/>
        <v>3750</v>
      </c>
      <c r="D65" s="32">
        <f t="shared" si="19"/>
        <v>3750</v>
      </c>
      <c r="E65" s="32">
        <f t="shared" si="19"/>
        <v>3750</v>
      </c>
      <c r="F65" s="32">
        <f t="shared" si="19"/>
        <v>3750</v>
      </c>
      <c r="G65" s="32">
        <f t="shared" si="19"/>
        <v>3750</v>
      </c>
      <c r="H65" s="32">
        <f t="shared" si="19"/>
        <v>3750</v>
      </c>
      <c r="I65" s="32">
        <f t="shared" si="19"/>
        <v>3750</v>
      </c>
      <c r="J65" s="32">
        <f t="shared" si="19"/>
        <v>3750</v>
      </c>
      <c r="K65" s="32">
        <f t="shared" si="19"/>
        <v>3750</v>
      </c>
      <c r="L65" s="32">
        <f t="shared" si="19"/>
        <v>3750</v>
      </c>
      <c r="M65" s="32">
        <f t="shared" si="19"/>
        <v>3750</v>
      </c>
      <c r="N65" s="31">
        <f t="shared" si="20"/>
        <v>45000</v>
      </c>
    </row>
    <row r="66" spans="1:14" x14ac:dyDescent="0.35">
      <c r="A66" s="5" t="s">
        <v>70</v>
      </c>
      <c r="B66" s="32">
        <f>'5yr Budget Projection'!D82/12</f>
        <v>666.66666666666663</v>
      </c>
      <c r="C66" s="32">
        <f t="shared" si="19"/>
        <v>666.66666666666663</v>
      </c>
      <c r="D66" s="32">
        <f t="shared" si="19"/>
        <v>666.66666666666663</v>
      </c>
      <c r="E66" s="32">
        <f t="shared" si="19"/>
        <v>666.66666666666663</v>
      </c>
      <c r="F66" s="32">
        <f t="shared" si="19"/>
        <v>666.66666666666663</v>
      </c>
      <c r="G66" s="32">
        <f t="shared" si="19"/>
        <v>666.66666666666663</v>
      </c>
      <c r="H66" s="32">
        <f t="shared" si="19"/>
        <v>666.66666666666663</v>
      </c>
      <c r="I66" s="32">
        <f t="shared" si="19"/>
        <v>666.66666666666663</v>
      </c>
      <c r="J66" s="32">
        <f t="shared" si="19"/>
        <v>666.66666666666663</v>
      </c>
      <c r="K66" s="32">
        <f t="shared" si="19"/>
        <v>666.66666666666663</v>
      </c>
      <c r="L66" s="32">
        <f t="shared" si="19"/>
        <v>666.66666666666663</v>
      </c>
      <c r="M66" s="32">
        <f t="shared" si="19"/>
        <v>666.66666666666663</v>
      </c>
      <c r="N66" s="31">
        <f t="shared" si="20"/>
        <v>8000.0000000000009</v>
      </c>
    </row>
    <row r="67" spans="1:14" x14ac:dyDescent="0.35">
      <c r="A67" s="5" t="s">
        <v>71</v>
      </c>
      <c r="B67" s="32">
        <f>'5yr Budget Projection'!D83/12</f>
        <v>200</v>
      </c>
      <c r="C67" s="32">
        <f t="shared" si="19"/>
        <v>200</v>
      </c>
      <c r="D67" s="32">
        <f t="shared" si="19"/>
        <v>200</v>
      </c>
      <c r="E67" s="32">
        <f t="shared" si="19"/>
        <v>200</v>
      </c>
      <c r="F67" s="32">
        <f t="shared" si="19"/>
        <v>200</v>
      </c>
      <c r="G67" s="32">
        <f t="shared" si="19"/>
        <v>200</v>
      </c>
      <c r="H67" s="32">
        <f t="shared" si="19"/>
        <v>200</v>
      </c>
      <c r="I67" s="32">
        <f t="shared" si="19"/>
        <v>200</v>
      </c>
      <c r="J67" s="32">
        <f t="shared" si="19"/>
        <v>200</v>
      </c>
      <c r="K67" s="32">
        <f t="shared" si="19"/>
        <v>200</v>
      </c>
      <c r="L67" s="32">
        <f t="shared" si="19"/>
        <v>200</v>
      </c>
      <c r="M67" s="32">
        <f t="shared" si="19"/>
        <v>200</v>
      </c>
      <c r="N67" s="31">
        <f t="shared" si="20"/>
        <v>2400</v>
      </c>
    </row>
    <row r="68" spans="1:14" x14ac:dyDescent="0.35">
      <c r="A68" s="5" t="s">
        <v>72</v>
      </c>
      <c r="B68" s="32">
        <f>'5yr Budget Projection'!D84/12</f>
        <v>15</v>
      </c>
      <c r="C68" s="32">
        <f t="shared" si="19"/>
        <v>15</v>
      </c>
      <c r="D68" s="32">
        <f t="shared" si="19"/>
        <v>15</v>
      </c>
      <c r="E68" s="32">
        <f t="shared" si="19"/>
        <v>15</v>
      </c>
      <c r="F68" s="32">
        <f t="shared" si="19"/>
        <v>15</v>
      </c>
      <c r="G68" s="32">
        <f t="shared" si="19"/>
        <v>15</v>
      </c>
      <c r="H68" s="32">
        <f t="shared" si="19"/>
        <v>15</v>
      </c>
      <c r="I68" s="32">
        <f t="shared" si="19"/>
        <v>15</v>
      </c>
      <c r="J68" s="32">
        <f t="shared" si="19"/>
        <v>15</v>
      </c>
      <c r="K68" s="32">
        <f t="shared" si="19"/>
        <v>15</v>
      </c>
      <c r="L68" s="32">
        <f t="shared" si="19"/>
        <v>15</v>
      </c>
      <c r="M68" s="32">
        <f t="shared" si="19"/>
        <v>15</v>
      </c>
      <c r="N68" s="31">
        <f t="shared" si="20"/>
        <v>180</v>
      </c>
    </row>
    <row r="69" spans="1:14" x14ac:dyDescent="0.35">
      <c r="A69" s="5" t="s">
        <v>73</v>
      </c>
      <c r="B69" s="32">
        <f>'5yr Budget Projection'!D85/12</f>
        <v>166.66666666666666</v>
      </c>
      <c r="C69" s="32">
        <f t="shared" si="19"/>
        <v>166.66666666666666</v>
      </c>
      <c r="D69" s="32">
        <f t="shared" si="19"/>
        <v>166.66666666666666</v>
      </c>
      <c r="E69" s="32">
        <f t="shared" si="19"/>
        <v>166.66666666666666</v>
      </c>
      <c r="F69" s="32">
        <f t="shared" si="19"/>
        <v>166.66666666666666</v>
      </c>
      <c r="G69" s="32">
        <f t="shared" si="19"/>
        <v>166.66666666666666</v>
      </c>
      <c r="H69" s="32">
        <f t="shared" si="19"/>
        <v>166.66666666666666</v>
      </c>
      <c r="I69" s="32">
        <f t="shared" si="19"/>
        <v>166.66666666666666</v>
      </c>
      <c r="J69" s="32">
        <f t="shared" si="19"/>
        <v>166.66666666666666</v>
      </c>
      <c r="K69" s="32">
        <f t="shared" si="19"/>
        <v>166.66666666666666</v>
      </c>
      <c r="L69" s="32">
        <f t="shared" si="19"/>
        <v>166.66666666666666</v>
      </c>
      <c r="M69" s="32">
        <f t="shared" si="19"/>
        <v>166.66666666666666</v>
      </c>
      <c r="N69" s="31">
        <f t="shared" si="20"/>
        <v>2000.0000000000002</v>
      </c>
    </row>
    <row r="70" spans="1:14" x14ac:dyDescent="0.35">
      <c r="A70" s="5" t="s">
        <v>74</v>
      </c>
      <c r="B70" s="32">
        <f>'5yr Budget Projection'!D86/12</f>
        <v>833.33333333333337</v>
      </c>
      <c r="C70" s="32">
        <f t="shared" si="19"/>
        <v>833.33333333333337</v>
      </c>
      <c r="D70" s="32">
        <f t="shared" si="19"/>
        <v>833.33333333333337</v>
      </c>
      <c r="E70" s="32">
        <f t="shared" si="19"/>
        <v>833.33333333333337</v>
      </c>
      <c r="F70" s="32">
        <f t="shared" si="19"/>
        <v>833.33333333333337</v>
      </c>
      <c r="G70" s="32">
        <f t="shared" si="19"/>
        <v>833.33333333333337</v>
      </c>
      <c r="H70" s="32">
        <f t="shared" si="19"/>
        <v>833.33333333333337</v>
      </c>
      <c r="I70" s="32">
        <f t="shared" si="19"/>
        <v>833.33333333333337</v>
      </c>
      <c r="J70" s="32">
        <f t="shared" si="19"/>
        <v>833.33333333333337</v>
      </c>
      <c r="K70" s="32">
        <f t="shared" si="19"/>
        <v>833.33333333333337</v>
      </c>
      <c r="L70" s="32">
        <f t="shared" si="19"/>
        <v>833.33333333333337</v>
      </c>
      <c r="M70" s="32">
        <f t="shared" si="19"/>
        <v>833.33333333333337</v>
      </c>
      <c r="N70" s="31">
        <f t="shared" si="20"/>
        <v>10000</v>
      </c>
    </row>
    <row r="71" spans="1:14" x14ac:dyDescent="0.35">
      <c r="A71" s="5" t="s">
        <v>75</v>
      </c>
      <c r="B71" s="32">
        <f>'5yr Budget Projection'!D87/12</f>
        <v>208.33333333333334</v>
      </c>
      <c r="C71" s="32">
        <f t="shared" si="19"/>
        <v>208.33333333333334</v>
      </c>
      <c r="D71" s="32">
        <f t="shared" si="19"/>
        <v>208.33333333333334</v>
      </c>
      <c r="E71" s="32">
        <f t="shared" si="19"/>
        <v>208.33333333333334</v>
      </c>
      <c r="F71" s="32">
        <f t="shared" si="19"/>
        <v>208.33333333333334</v>
      </c>
      <c r="G71" s="32">
        <f t="shared" si="19"/>
        <v>208.33333333333334</v>
      </c>
      <c r="H71" s="32">
        <f t="shared" si="19"/>
        <v>208.33333333333334</v>
      </c>
      <c r="I71" s="32">
        <f t="shared" si="19"/>
        <v>208.33333333333334</v>
      </c>
      <c r="J71" s="32">
        <f t="shared" si="19"/>
        <v>208.33333333333334</v>
      </c>
      <c r="K71" s="32">
        <f t="shared" si="19"/>
        <v>208.33333333333334</v>
      </c>
      <c r="L71" s="32">
        <f t="shared" si="19"/>
        <v>208.33333333333334</v>
      </c>
      <c r="M71" s="32">
        <f t="shared" si="19"/>
        <v>208.33333333333334</v>
      </c>
      <c r="N71" s="31">
        <f t="shared" si="20"/>
        <v>2500</v>
      </c>
    </row>
    <row r="72" spans="1:14" x14ac:dyDescent="0.35">
      <c r="A72" s="5" t="s">
        <v>76</v>
      </c>
      <c r="B72" s="32">
        <f>'5yr Budget Projection'!D88/12</f>
        <v>0</v>
      </c>
      <c r="C72" s="32">
        <f t="shared" si="19"/>
        <v>0</v>
      </c>
      <c r="D72" s="32">
        <f t="shared" si="19"/>
        <v>0</v>
      </c>
      <c r="E72" s="32">
        <f t="shared" si="19"/>
        <v>0</v>
      </c>
      <c r="F72" s="32">
        <f t="shared" si="19"/>
        <v>0</v>
      </c>
      <c r="G72" s="32">
        <f t="shared" si="19"/>
        <v>0</v>
      </c>
      <c r="H72" s="32">
        <f t="shared" si="19"/>
        <v>0</v>
      </c>
      <c r="I72" s="32">
        <f t="shared" si="19"/>
        <v>0</v>
      </c>
      <c r="J72" s="32">
        <f t="shared" si="19"/>
        <v>0</v>
      </c>
      <c r="K72" s="32">
        <f t="shared" si="19"/>
        <v>0</v>
      </c>
      <c r="L72" s="32">
        <f t="shared" si="19"/>
        <v>0</v>
      </c>
      <c r="M72" s="32">
        <f t="shared" si="19"/>
        <v>0</v>
      </c>
      <c r="N72" s="31">
        <f t="shared" si="20"/>
        <v>0</v>
      </c>
    </row>
    <row r="73" spans="1:14" x14ac:dyDescent="0.35">
      <c r="A73" s="5" t="s">
        <v>77</v>
      </c>
      <c r="B73" s="32">
        <f>'5yr Budget Projection'!D89/12</f>
        <v>250</v>
      </c>
      <c r="C73" s="32">
        <f t="shared" si="19"/>
        <v>250</v>
      </c>
      <c r="D73" s="32">
        <f t="shared" si="19"/>
        <v>250</v>
      </c>
      <c r="E73" s="32">
        <f t="shared" si="19"/>
        <v>250</v>
      </c>
      <c r="F73" s="32">
        <f t="shared" si="19"/>
        <v>250</v>
      </c>
      <c r="G73" s="32">
        <f t="shared" si="19"/>
        <v>250</v>
      </c>
      <c r="H73" s="32">
        <f t="shared" si="19"/>
        <v>250</v>
      </c>
      <c r="I73" s="32">
        <f t="shared" si="19"/>
        <v>250</v>
      </c>
      <c r="J73" s="32">
        <f t="shared" si="19"/>
        <v>250</v>
      </c>
      <c r="K73" s="32">
        <f t="shared" si="19"/>
        <v>250</v>
      </c>
      <c r="L73" s="32">
        <f t="shared" si="19"/>
        <v>250</v>
      </c>
      <c r="M73" s="32">
        <f t="shared" si="19"/>
        <v>250</v>
      </c>
      <c r="N73" s="31">
        <f t="shared" si="20"/>
        <v>3000</v>
      </c>
    </row>
    <row r="74" spans="1:14" x14ac:dyDescent="0.35">
      <c r="A74" s="5" t="s">
        <v>78</v>
      </c>
      <c r="B74" s="32">
        <f>'5yr Budget Projection'!D90/12</f>
        <v>0</v>
      </c>
      <c r="C74" s="32">
        <f t="shared" si="19"/>
        <v>0</v>
      </c>
      <c r="D74" s="32">
        <f t="shared" si="19"/>
        <v>0</v>
      </c>
      <c r="E74" s="32">
        <f t="shared" si="19"/>
        <v>0</v>
      </c>
      <c r="F74" s="32">
        <f t="shared" si="19"/>
        <v>0</v>
      </c>
      <c r="G74" s="32">
        <f t="shared" si="19"/>
        <v>0</v>
      </c>
      <c r="H74" s="32">
        <f t="shared" si="19"/>
        <v>0</v>
      </c>
      <c r="I74" s="32">
        <f t="shared" si="19"/>
        <v>0</v>
      </c>
      <c r="J74" s="32">
        <f t="shared" si="19"/>
        <v>0</v>
      </c>
      <c r="K74" s="32">
        <f t="shared" si="19"/>
        <v>0</v>
      </c>
      <c r="L74" s="32">
        <f t="shared" si="19"/>
        <v>0</v>
      </c>
      <c r="M74" s="32">
        <f t="shared" si="19"/>
        <v>0</v>
      </c>
      <c r="N74" s="31">
        <f t="shared" si="20"/>
        <v>0</v>
      </c>
    </row>
    <row r="75" spans="1:14" x14ac:dyDescent="0.35">
      <c r="A75" s="5" t="s">
        <v>79</v>
      </c>
      <c r="B75" s="32">
        <f>'5yr Budget Projection'!D91/12</f>
        <v>41.666666666666664</v>
      </c>
      <c r="C75" s="32">
        <f t="shared" si="19"/>
        <v>41.666666666666664</v>
      </c>
      <c r="D75" s="32">
        <f t="shared" si="19"/>
        <v>41.666666666666664</v>
      </c>
      <c r="E75" s="32">
        <f t="shared" si="19"/>
        <v>41.666666666666664</v>
      </c>
      <c r="F75" s="32">
        <f t="shared" si="19"/>
        <v>41.666666666666664</v>
      </c>
      <c r="G75" s="32">
        <f t="shared" si="19"/>
        <v>41.666666666666664</v>
      </c>
      <c r="H75" s="32">
        <f t="shared" si="19"/>
        <v>41.666666666666664</v>
      </c>
      <c r="I75" s="32">
        <f t="shared" si="19"/>
        <v>41.666666666666664</v>
      </c>
      <c r="J75" s="32">
        <f t="shared" si="19"/>
        <v>41.666666666666664</v>
      </c>
      <c r="K75" s="32">
        <f t="shared" si="19"/>
        <v>41.666666666666664</v>
      </c>
      <c r="L75" s="32">
        <f t="shared" si="19"/>
        <v>41.666666666666664</v>
      </c>
      <c r="M75" s="32">
        <f t="shared" si="19"/>
        <v>41.666666666666664</v>
      </c>
      <c r="N75" s="31">
        <f t="shared" si="20"/>
        <v>500.00000000000006</v>
      </c>
    </row>
    <row r="76" spans="1:14" x14ac:dyDescent="0.35">
      <c r="A76" s="5" t="s">
        <v>80</v>
      </c>
      <c r="B76" s="32">
        <f>'5yr Budget Projection'!D92/12</f>
        <v>0</v>
      </c>
      <c r="C76" s="32">
        <f t="shared" si="19"/>
        <v>0</v>
      </c>
      <c r="D76" s="32">
        <f t="shared" si="19"/>
        <v>0</v>
      </c>
      <c r="E76" s="32">
        <f t="shared" si="19"/>
        <v>0</v>
      </c>
      <c r="F76" s="32">
        <f t="shared" si="19"/>
        <v>0</v>
      </c>
      <c r="G76" s="32">
        <f t="shared" si="19"/>
        <v>0</v>
      </c>
      <c r="H76" s="32">
        <f t="shared" si="19"/>
        <v>0</v>
      </c>
      <c r="I76" s="32">
        <f t="shared" si="19"/>
        <v>0</v>
      </c>
      <c r="J76" s="32">
        <f t="shared" si="19"/>
        <v>0</v>
      </c>
      <c r="K76" s="32">
        <f t="shared" si="19"/>
        <v>0</v>
      </c>
      <c r="L76" s="32">
        <f t="shared" si="19"/>
        <v>0</v>
      </c>
      <c r="M76" s="32">
        <f t="shared" si="19"/>
        <v>0</v>
      </c>
      <c r="N76" s="31">
        <f t="shared" si="20"/>
        <v>0</v>
      </c>
    </row>
    <row r="77" spans="1:14" x14ac:dyDescent="0.35">
      <c r="A77" s="5" t="s">
        <v>81</v>
      </c>
      <c r="B77" s="32">
        <f>'5yr Budget Projection'!D93/12</f>
        <v>400</v>
      </c>
      <c r="C77" s="32">
        <f t="shared" si="19"/>
        <v>400</v>
      </c>
      <c r="D77" s="32">
        <f t="shared" si="19"/>
        <v>400</v>
      </c>
      <c r="E77" s="32">
        <f t="shared" si="19"/>
        <v>400</v>
      </c>
      <c r="F77" s="32">
        <f t="shared" si="19"/>
        <v>400</v>
      </c>
      <c r="G77" s="32">
        <f t="shared" si="19"/>
        <v>400</v>
      </c>
      <c r="H77" s="32">
        <f t="shared" si="19"/>
        <v>400</v>
      </c>
      <c r="I77" s="32">
        <f t="shared" si="19"/>
        <v>400</v>
      </c>
      <c r="J77" s="32">
        <f t="shared" si="19"/>
        <v>400</v>
      </c>
      <c r="K77" s="32">
        <f t="shared" si="19"/>
        <v>400</v>
      </c>
      <c r="L77" s="32">
        <f t="shared" si="19"/>
        <v>400</v>
      </c>
      <c r="M77" s="32">
        <f t="shared" si="19"/>
        <v>400</v>
      </c>
      <c r="N77" s="31">
        <f t="shared" si="20"/>
        <v>4800</v>
      </c>
    </row>
    <row r="78" spans="1:14" x14ac:dyDescent="0.35">
      <c r="A78" s="5" t="s">
        <v>42</v>
      </c>
      <c r="B78" s="32">
        <f>'5yr Budget Projection'!D94/12</f>
        <v>3831.6666666666665</v>
      </c>
      <c r="C78" s="32">
        <f t="shared" si="19"/>
        <v>3831.6666666666665</v>
      </c>
      <c r="D78" s="32">
        <f t="shared" si="19"/>
        <v>3831.6666666666665</v>
      </c>
      <c r="E78" s="32">
        <f t="shared" si="19"/>
        <v>3831.6666666666665</v>
      </c>
      <c r="F78" s="32">
        <f t="shared" si="19"/>
        <v>3831.6666666666665</v>
      </c>
      <c r="G78" s="32">
        <f t="shared" si="19"/>
        <v>3831.6666666666665</v>
      </c>
      <c r="H78" s="32">
        <f t="shared" si="19"/>
        <v>3831.6666666666665</v>
      </c>
      <c r="I78" s="32">
        <f t="shared" si="19"/>
        <v>3831.6666666666665</v>
      </c>
      <c r="J78" s="32">
        <f t="shared" si="19"/>
        <v>3831.6666666666665</v>
      </c>
      <c r="K78" s="32">
        <f t="shared" si="19"/>
        <v>3831.6666666666665</v>
      </c>
      <c r="L78" s="32">
        <f t="shared" si="19"/>
        <v>3831.6666666666665</v>
      </c>
      <c r="M78" s="32">
        <f t="shared" si="19"/>
        <v>3831.6666666666665</v>
      </c>
      <c r="N78" s="31">
        <f t="shared" si="20"/>
        <v>45979.999999999993</v>
      </c>
    </row>
    <row r="79" spans="1:14" x14ac:dyDescent="0.35">
      <c r="A79" s="5" t="s">
        <v>82</v>
      </c>
      <c r="B79" s="32">
        <f>'5yr Budget Projection'!D95/12</f>
        <v>0</v>
      </c>
      <c r="C79" s="32">
        <f t="shared" si="19"/>
        <v>0</v>
      </c>
      <c r="D79" s="32">
        <f t="shared" si="19"/>
        <v>0</v>
      </c>
      <c r="E79" s="32">
        <f t="shared" si="19"/>
        <v>0</v>
      </c>
      <c r="F79" s="32">
        <f t="shared" si="19"/>
        <v>0</v>
      </c>
      <c r="G79" s="32">
        <f t="shared" si="19"/>
        <v>0</v>
      </c>
      <c r="H79" s="32">
        <f t="shared" si="19"/>
        <v>0</v>
      </c>
      <c r="I79" s="32">
        <f t="shared" si="19"/>
        <v>0</v>
      </c>
      <c r="J79" s="32">
        <f t="shared" si="19"/>
        <v>0</v>
      </c>
      <c r="K79" s="32">
        <f t="shared" si="19"/>
        <v>0</v>
      </c>
      <c r="L79" s="32">
        <f t="shared" si="19"/>
        <v>0</v>
      </c>
      <c r="M79" s="32">
        <f t="shared" si="19"/>
        <v>0</v>
      </c>
      <c r="N79" s="31">
        <f t="shared" si="20"/>
        <v>0</v>
      </c>
    </row>
    <row r="80" spans="1:14" x14ac:dyDescent="0.35">
      <c r="A80" s="5" t="s">
        <v>83</v>
      </c>
      <c r="B80" s="32">
        <f>'5yr Budget Projection'!D96/12</f>
        <v>208.33333333333334</v>
      </c>
      <c r="C80" s="32">
        <f t="shared" si="19"/>
        <v>208.33333333333334</v>
      </c>
      <c r="D80" s="32">
        <f t="shared" si="19"/>
        <v>208.33333333333334</v>
      </c>
      <c r="E80" s="32">
        <f t="shared" si="19"/>
        <v>208.33333333333334</v>
      </c>
      <c r="F80" s="32">
        <f t="shared" si="19"/>
        <v>208.33333333333334</v>
      </c>
      <c r="G80" s="32">
        <f t="shared" si="19"/>
        <v>208.33333333333334</v>
      </c>
      <c r="H80" s="32">
        <f t="shared" si="19"/>
        <v>208.33333333333334</v>
      </c>
      <c r="I80" s="32">
        <f t="shared" si="19"/>
        <v>208.33333333333334</v>
      </c>
      <c r="J80" s="32">
        <f t="shared" si="19"/>
        <v>208.33333333333334</v>
      </c>
      <c r="K80" s="32">
        <f t="shared" si="19"/>
        <v>208.33333333333334</v>
      </c>
      <c r="L80" s="32">
        <f t="shared" si="19"/>
        <v>208.33333333333334</v>
      </c>
      <c r="M80" s="32">
        <f t="shared" si="19"/>
        <v>208.33333333333334</v>
      </c>
      <c r="N80" s="31">
        <f t="shared" si="20"/>
        <v>2500</v>
      </c>
    </row>
    <row r="81" spans="1:14" x14ac:dyDescent="0.35">
      <c r="A81" s="5" t="s">
        <v>84</v>
      </c>
      <c r="B81" s="32">
        <f>'5yr Budget Projection'!D97/12</f>
        <v>125</v>
      </c>
      <c r="C81" s="32">
        <f t="shared" si="19"/>
        <v>125</v>
      </c>
      <c r="D81" s="32">
        <f t="shared" si="19"/>
        <v>125</v>
      </c>
      <c r="E81" s="32">
        <f t="shared" si="19"/>
        <v>125</v>
      </c>
      <c r="F81" s="32">
        <f t="shared" si="19"/>
        <v>125</v>
      </c>
      <c r="G81" s="32">
        <f t="shared" si="19"/>
        <v>125</v>
      </c>
      <c r="H81" s="32">
        <f t="shared" si="19"/>
        <v>125</v>
      </c>
      <c r="I81" s="32">
        <f t="shared" si="19"/>
        <v>125</v>
      </c>
      <c r="J81" s="32">
        <f t="shared" si="19"/>
        <v>125</v>
      </c>
      <c r="K81" s="32">
        <f t="shared" si="19"/>
        <v>125</v>
      </c>
      <c r="L81" s="32">
        <f t="shared" ref="D81:M85" si="21">K81</f>
        <v>125</v>
      </c>
      <c r="M81" s="32">
        <f t="shared" si="21"/>
        <v>125</v>
      </c>
      <c r="N81" s="31">
        <f t="shared" si="20"/>
        <v>1500</v>
      </c>
    </row>
    <row r="82" spans="1:14" x14ac:dyDescent="0.35">
      <c r="A82" s="5" t="s">
        <v>85</v>
      </c>
      <c r="B82" s="32">
        <f>'5yr Budget Projection'!D98/12</f>
        <v>2500</v>
      </c>
      <c r="C82" s="32">
        <f t="shared" si="19"/>
        <v>2500</v>
      </c>
      <c r="D82" s="32">
        <f t="shared" si="21"/>
        <v>2500</v>
      </c>
      <c r="E82" s="32">
        <f t="shared" si="21"/>
        <v>2500</v>
      </c>
      <c r="F82" s="32">
        <f t="shared" si="21"/>
        <v>2500</v>
      </c>
      <c r="G82" s="32">
        <f t="shared" si="21"/>
        <v>2500</v>
      </c>
      <c r="H82" s="32">
        <f t="shared" si="21"/>
        <v>2500</v>
      </c>
      <c r="I82" s="32">
        <f t="shared" si="21"/>
        <v>2500</v>
      </c>
      <c r="J82" s="32">
        <f t="shared" si="21"/>
        <v>2500</v>
      </c>
      <c r="K82" s="32">
        <f t="shared" si="21"/>
        <v>2500</v>
      </c>
      <c r="L82" s="32">
        <f t="shared" si="21"/>
        <v>2500</v>
      </c>
      <c r="M82" s="32">
        <f t="shared" si="21"/>
        <v>2500</v>
      </c>
      <c r="N82" s="31">
        <f t="shared" si="20"/>
        <v>30000</v>
      </c>
    </row>
    <row r="83" spans="1:14" x14ac:dyDescent="0.35">
      <c r="A83" s="5" t="s">
        <v>86</v>
      </c>
      <c r="B83" s="32">
        <f>'5yr Budget Projection'!D99/12</f>
        <v>85</v>
      </c>
      <c r="C83" s="32">
        <f t="shared" si="19"/>
        <v>85</v>
      </c>
      <c r="D83" s="32">
        <f t="shared" si="21"/>
        <v>85</v>
      </c>
      <c r="E83" s="32">
        <f t="shared" si="21"/>
        <v>85</v>
      </c>
      <c r="F83" s="32">
        <f t="shared" si="21"/>
        <v>85</v>
      </c>
      <c r="G83" s="32">
        <f t="shared" si="21"/>
        <v>85</v>
      </c>
      <c r="H83" s="32">
        <f t="shared" si="21"/>
        <v>85</v>
      </c>
      <c r="I83" s="32">
        <f t="shared" si="21"/>
        <v>85</v>
      </c>
      <c r="J83" s="32">
        <f t="shared" si="21"/>
        <v>85</v>
      </c>
      <c r="K83" s="32">
        <f t="shared" si="21"/>
        <v>85</v>
      </c>
      <c r="L83" s="32">
        <f t="shared" si="21"/>
        <v>85</v>
      </c>
      <c r="M83" s="32">
        <f t="shared" si="21"/>
        <v>85</v>
      </c>
      <c r="N83" s="31">
        <f t="shared" si="20"/>
        <v>1020</v>
      </c>
    </row>
    <row r="84" spans="1:14" x14ac:dyDescent="0.35">
      <c r="A84" s="5" t="s">
        <v>87</v>
      </c>
      <c r="B84" s="32">
        <f>'5yr Budget Projection'!D100/12</f>
        <v>416.66666666666669</v>
      </c>
      <c r="C84" s="32">
        <f t="shared" si="19"/>
        <v>416.66666666666669</v>
      </c>
      <c r="D84" s="32">
        <f t="shared" si="21"/>
        <v>416.66666666666669</v>
      </c>
      <c r="E84" s="32">
        <f t="shared" si="21"/>
        <v>416.66666666666669</v>
      </c>
      <c r="F84" s="32">
        <f t="shared" si="21"/>
        <v>416.66666666666669</v>
      </c>
      <c r="G84" s="32">
        <f t="shared" si="21"/>
        <v>416.66666666666669</v>
      </c>
      <c r="H84" s="32">
        <f t="shared" si="21"/>
        <v>416.66666666666669</v>
      </c>
      <c r="I84" s="32">
        <f t="shared" si="21"/>
        <v>416.66666666666669</v>
      </c>
      <c r="J84" s="32">
        <f t="shared" si="21"/>
        <v>416.66666666666669</v>
      </c>
      <c r="K84" s="32">
        <f t="shared" si="21"/>
        <v>416.66666666666669</v>
      </c>
      <c r="L84" s="32">
        <f t="shared" si="21"/>
        <v>416.66666666666669</v>
      </c>
      <c r="M84" s="32">
        <f t="shared" si="21"/>
        <v>416.66666666666669</v>
      </c>
      <c r="N84" s="31">
        <f>SUM(B84:M84)</f>
        <v>5000</v>
      </c>
    </row>
    <row r="85" spans="1:14" x14ac:dyDescent="0.35">
      <c r="A85" s="8" t="s">
        <v>136</v>
      </c>
      <c r="B85" s="32">
        <f>'5yr Budget Projection'!D101/12</f>
        <v>125</v>
      </c>
      <c r="C85" s="32">
        <f t="shared" si="19"/>
        <v>125</v>
      </c>
      <c r="D85" s="32">
        <f t="shared" si="21"/>
        <v>125</v>
      </c>
      <c r="E85" s="32">
        <f t="shared" si="21"/>
        <v>125</v>
      </c>
      <c r="F85" s="32">
        <f t="shared" si="21"/>
        <v>125</v>
      </c>
      <c r="G85" s="32">
        <f t="shared" si="21"/>
        <v>125</v>
      </c>
      <c r="H85" s="32">
        <f t="shared" si="21"/>
        <v>125</v>
      </c>
      <c r="I85" s="32">
        <f t="shared" si="21"/>
        <v>125</v>
      </c>
      <c r="J85" s="32">
        <f t="shared" si="21"/>
        <v>125</v>
      </c>
      <c r="K85" s="32">
        <f t="shared" si="21"/>
        <v>125</v>
      </c>
      <c r="L85" s="32">
        <f t="shared" si="21"/>
        <v>125</v>
      </c>
      <c r="M85" s="32">
        <f t="shared" si="21"/>
        <v>125</v>
      </c>
      <c r="N85" s="31">
        <f>SUM(B85:M85)</f>
        <v>1500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88</v>
      </c>
      <c r="B87" s="39">
        <f>SUM(B58:B86)</f>
        <v>13948.333333333334</v>
      </c>
      <c r="C87" s="39">
        <f t="shared" ref="C87:N87" si="22">SUM(C58:C86)</f>
        <v>13948.333333333334</v>
      </c>
      <c r="D87" s="39">
        <f t="shared" si="22"/>
        <v>13948.333333333334</v>
      </c>
      <c r="E87" s="39">
        <f t="shared" si="22"/>
        <v>13948.333333333334</v>
      </c>
      <c r="F87" s="39">
        <f t="shared" si="22"/>
        <v>13948.333333333334</v>
      </c>
      <c r="G87" s="39">
        <f t="shared" si="22"/>
        <v>13948.333333333334</v>
      </c>
      <c r="H87" s="39">
        <f t="shared" si="22"/>
        <v>13948.333333333334</v>
      </c>
      <c r="I87" s="39">
        <f t="shared" si="22"/>
        <v>13948.333333333334</v>
      </c>
      <c r="J87" s="39">
        <f t="shared" si="22"/>
        <v>13948.333333333334</v>
      </c>
      <c r="K87" s="39">
        <f t="shared" si="22"/>
        <v>13948.333333333334</v>
      </c>
      <c r="L87" s="39">
        <f t="shared" si="22"/>
        <v>13948.333333333334</v>
      </c>
      <c r="M87" s="39">
        <f t="shared" si="22"/>
        <v>13948.333333333334</v>
      </c>
      <c r="N87" s="39">
        <f t="shared" si="22"/>
        <v>167380</v>
      </c>
    </row>
    <row r="88" spans="1:14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54" t="s">
        <v>89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x14ac:dyDescent="0.35">
      <c r="A90" s="52" t="s">
        <v>90</v>
      </c>
      <c r="B90" s="53">
        <f>'5yr Budget Projection'!D106/12</f>
        <v>15271.875</v>
      </c>
      <c r="C90" s="53">
        <f>B90</f>
        <v>15271.875</v>
      </c>
      <c r="D90" s="53">
        <f t="shared" ref="D90:M90" si="23">C90</f>
        <v>15271.875</v>
      </c>
      <c r="E90" s="53">
        <f t="shared" si="23"/>
        <v>15271.875</v>
      </c>
      <c r="F90" s="53">
        <f t="shared" si="23"/>
        <v>15271.875</v>
      </c>
      <c r="G90" s="53">
        <f t="shared" si="23"/>
        <v>15271.875</v>
      </c>
      <c r="H90" s="53">
        <f t="shared" si="23"/>
        <v>15271.875</v>
      </c>
      <c r="I90" s="53">
        <f t="shared" si="23"/>
        <v>15271.875</v>
      </c>
      <c r="J90" s="53">
        <f t="shared" si="23"/>
        <v>15271.875</v>
      </c>
      <c r="K90" s="53">
        <f t="shared" si="23"/>
        <v>15271.875</v>
      </c>
      <c r="L90" s="53">
        <f t="shared" si="23"/>
        <v>15271.875</v>
      </c>
      <c r="M90" s="53">
        <f t="shared" si="23"/>
        <v>15271.875</v>
      </c>
      <c r="N90" s="42">
        <f t="shared" ref="N90:N96" si="24">SUM(B90:M90)</f>
        <v>183262.5</v>
      </c>
    </row>
    <row r="91" spans="1:14" x14ac:dyDescent="0.35">
      <c r="A91" s="5" t="s">
        <v>91</v>
      </c>
      <c r="B91" s="32">
        <f>'5yr Budget Projection'!D107/12</f>
        <v>490</v>
      </c>
      <c r="C91" s="32">
        <f t="shared" ref="C91:M95" si="25">B91</f>
        <v>490</v>
      </c>
      <c r="D91" s="32">
        <f t="shared" si="25"/>
        <v>490</v>
      </c>
      <c r="E91" s="32">
        <f t="shared" si="25"/>
        <v>490</v>
      </c>
      <c r="F91" s="32">
        <f t="shared" si="25"/>
        <v>490</v>
      </c>
      <c r="G91" s="32">
        <f t="shared" si="25"/>
        <v>490</v>
      </c>
      <c r="H91" s="32">
        <f t="shared" si="25"/>
        <v>490</v>
      </c>
      <c r="I91" s="32">
        <f t="shared" si="25"/>
        <v>490</v>
      </c>
      <c r="J91" s="32">
        <f t="shared" si="25"/>
        <v>490</v>
      </c>
      <c r="K91" s="32">
        <f t="shared" si="25"/>
        <v>490</v>
      </c>
      <c r="L91" s="32">
        <f t="shared" si="25"/>
        <v>490</v>
      </c>
      <c r="M91" s="32">
        <f t="shared" si="25"/>
        <v>490</v>
      </c>
      <c r="N91" s="31">
        <f t="shared" si="24"/>
        <v>5880</v>
      </c>
    </row>
    <row r="92" spans="1:14" x14ac:dyDescent="0.35">
      <c r="A92" s="5" t="s">
        <v>92</v>
      </c>
      <c r="B92" s="32">
        <f>'5yr Budget Projection'!D108/12</f>
        <v>833.33333333333337</v>
      </c>
      <c r="C92" s="32">
        <f t="shared" si="25"/>
        <v>833.33333333333337</v>
      </c>
      <c r="D92" s="32">
        <f t="shared" si="25"/>
        <v>833.33333333333337</v>
      </c>
      <c r="E92" s="32">
        <f t="shared" si="25"/>
        <v>833.33333333333337</v>
      </c>
      <c r="F92" s="32">
        <f t="shared" si="25"/>
        <v>833.33333333333337</v>
      </c>
      <c r="G92" s="32">
        <f t="shared" si="25"/>
        <v>833.33333333333337</v>
      </c>
      <c r="H92" s="32">
        <f t="shared" si="25"/>
        <v>833.33333333333337</v>
      </c>
      <c r="I92" s="32">
        <f t="shared" si="25"/>
        <v>833.33333333333337</v>
      </c>
      <c r="J92" s="32">
        <f t="shared" si="25"/>
        <v>833.33333333333337</v>
      </c>
      <c r="K92" s="32">
        <f t="shared" si="25"/>
        <v>833.33333333333337</v>
      </c>
      <c r="L92" s="32">
        <f t="shared" si="25"/>
        <v>833.33333333333337</v>
      </c>
      <c r="M92" s="32">
        <f t="shared" si="25"/>
        <v>833.33333333333337</v>
      </c>
      <c r="N92" s="31">
        <f t="shared" si="24"/>
        <v>10000</v>
      </c>
    </row>
    <row r="93" spans="1:14" x14ac:dyDescent="0.35">
      <c r="A93" s="5" t="s">
        <v>93</v>
      </c>
      <c r="B93" s="32">
        <f>'5yr Budget Projection'!D109/12</f>
        <v>1200</v>
      </c>
      <c r="C93" s="32">
        <f t="shared" si="25"/>
        <v>1200</v>
      </c>
      <c r="D93" s="32">
        <f t="shared" si="25"/>
        <v>1200</v>
      </c>
      <c r="E93" s="32">
        <f t="shared" si="25"/>
        <v>1200</v>
      </c>
      <c r="F93" s="32">
        <f t="shared" si="25"/>
        <v>1200</v>
      </c>
      <c r="G93" s="32">
        <f t="shared" si="25"/>
        <v>1200</v>
      </c>
      <c r="H93" s="32">
        <f t="shared" si="25"/>
        <v>1200</v>
      </c>
      <c r="I93" s="32">
        <f t="shared" si="25"/>
        <v>1200</v>
      </c>
      <c r="J93" s="32">
        <f t="shared" si="25"/>
        <v>1200</v>
      </c>
      <c r="K93" s="32">
        <f t="shared" si="25"/>
        <v>1200</v>
      </c>
      <c r="L93" s="32">
        <f t="shared" si="25"/>
        <v>1200</v>
      </c>
      <c r="M93" s="32">
        <f t="shared" si="25"/>
        <v>1200</v>
      </c>
      <c r="N93" s="31">
        <f t="shared" si="24"/>
        <v>14400</v>
      </c>
    </row>
    <row r="94" spans="1:14" x14ac:dyDescent="0.35">
      <c r="A94" s="5" t="s">
        <v>94</v>
      </c>
      <c r="B94" s="32">
        <f>'5yr Budget Projection'!D110/12</f>
        <v>125</v>
      </c>
      <c r="C94" s="32">
        <f t="shared" si="25"/>
        <v>125</v>
      </c>
      <c r="D94" s="32">
        <f t="shared" si="25"/>
        <v>125</v>
      </c>
      <c r="E94" s="32">
        <f t="shared" si="25"/>
        <v>125</v>
      </c>
      <c r="F94" s="32">
        <f t="shared" si="25"/>
        <v>125</v>
      </c>
      <c r="G94" s="32">
        <f t="shared" si="25"/>
        <v>125</v>
      </c>
      <c r="H94" s="32">
        <f t="shared" si="25"/>
        <v>125</v>
      </c>
      <c r="I94" s="32">
        <f t="shared" si="25"/>
        <v>125</v>
      </c>
      <c r="J94" s="32">
        <f t="shared" si="25"/>
        <v>125</v>
      </c>
      <c r="K94" s="32">
        <f t="shared" si="25"/>
        <v>125</v>
      </c>
      <c r="L94" s="32">
        <f t="shared" si="25"/>
        <v>125</v>
      </c>
      <c r="M94" s="32">
        <f t="shared" si="25"/>
        <v>125</v>
      </c>
      <c r="N94" s="31">
        <f t="shared" si="24"/>
        <v>1500</v>
      </c>
    </row>
    <row r="95" spans="1:14" x14ac:dyDescent="0.35">
      <c r="A95" s="8"/>
      <c r="B95" s="32">
        <f>'5yr Budget Projection'!D111/12</f>
        <v>0</v>
      </c>
      <c r="C95" s="32">
        <f t="shared" si="25"/>
        <v>0</v>
      </c>
      <c r="D95" s="32">
        <f t="shared" si="25"/>
        <v>0</v>
      </c>
      <c r="E95" s="32">
        <f t="shared" si="25"/>
        <v>0</v>
      </c>
      <c r="F95" s="32">
        <f t="shared" si="25"/>
        <v>0</v>
      </c>
      <c r="G95" s="32">
        <f t="shared" si="25"/>
        <v>0</v>
      </c>
      <c r="H95" s="32">
        <f t="shared" si="25"/>
        <v>0</v>
      </c>
      <c r="I95" s="32">
        <f t="shared" si="25"/>
        <v>0</v>
      </c>
      <c r="J95" s="32">
        <f t="shared" si="25"/>
        <v>0</v>
      </c>
      <c r="K95" s="32">
        <f t="shared" si="25"/>
        <v>0</v>
      </c>
      <c r="L95" s="32">
        <f t="shared" si="25"/>
        <v>0</v>
      </c>
      <c r="M95" s="32">
        <f t="shared" si="25"/>
        <v>0</v>
      </c>
      <c r="N95" s="31">
        <f>SUM(B95:M95)</f>
        <v>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24"/>
        <v>0</v>
      </c>
    </row>
    <row r="97" spans="1:14" x14ac:dyDescent="0.35">
      <c r="A97" s="7" t="s">
        <v>95</v>
      </c>
      <c r="B97" s="39">
        <f>SUM(B90:B96)</f>
        <v>17920.208333333332</v>
      </c>
      <c r="C97" s="39">
        <f t="shared" ref="C97:N97" si="26">SUM(C90:C96)</f>
        <v>17920.208333333332</v>
      </c>
      <c r="D97" s="39">
        <f t="shared" si="26"/>
        <v>17920.208333333332</v>
      </c>
      <c r="E97" s="39">
        <f t="shared" si="26"/>
        <v>17920.208333333332</v>
      </c>
      <c r="F97" s="39">
        <f t="shared" si="26"/>
        <v>17920.208333333332</v>
      </c>
      <c r="G97" s="39">
        <f t="shared" si="26"/>
        <v>17920.208333333332</v>
      </c>
      <c r="H97" s="39">
        <f t="shared" si="26"/>
        <v>17920.208333333332</v>
      </c>
      <c r="I97" s="39">
        <f t="shared" si="26"/>
        <v>17920.208333333332</v>
      </c>
      <c r="J97" s="39">
        <f t="shared" si="26"/>
        <v>17920.208333333332</v>
      </c>
      <c r="K97" s="39">
        <f t="shared" si="26"/>
        <v>17920.208333333332</v>
      </c>
      <c r="L97" s="39">
        <f t="shared" si="26"/>
        <v>17920.208333333332</v>
      </c>
      <c r="M97" s="39">
        <f t="shared" si="26"/>
        <v>17920.208333333332</v>
      </c>
      <c r="N97" s="39">
        <f t="shared" si="26"/>
        <v>215042.5</v>
      </c>
    </row>
    <row r="98" spans="1:14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35">
      <c r="A99" s="7" t="s">
        <v>122</v>
      </c>
      <c r="B99" s="39">
        <f>ROUND(B39+B55+B87+B97,2)</f>
        <v>126888.63</v>
      </c>
      <c r="C99" s="39">
        <f t="shared" ref="C99:M99" si="27">ROUND(C39+C55+C87+C97,2)</f>
        <v>126888.63</v>
      </c>
      <c r="D99" s="39">
        <f t="shared" si="27"/>
        <v>126888.63</v>
      </c>
      <c r="E99" s="39">
        <f t="shared" si="27"/>
        <v>126888.63</v>
      </c>
      <c r="F99" s="39">
        <f t="shared" si="27"/>
        <v>126888.63</v>
      </c>
      <c r="G99" s="39">
        <f t="shared" si="27"/>
        <v>126888.63</v>
      </c>
      <c r="H99" s="39">
        <f t="shared" si="27"/>
        <v>126888.63</v>
      </c>
      <c r="I99" s="39">
        <f t="shared" si="27"/>
        <v>126888.63</v>
      </c>
      <c r="J99" s="39">
        <f t="shared" si="27"/>
        <v>126888.63</v>
      </c>
      <c r="K99" s="39">
        <f t="shared" si="27"/>
        <v>126888.63</v>
      </c>
      <c r="L99" s="39">
        <f t="shared" si="27"/>
        <v>126888.63</v>
      </c>
      <c r="M99" s="39">
        <f t="shared" si="27"/>
        <v>126888.63</v>
      </c>
      <c r="N99" s="39">
        <f t="shared" ref="N99" si="28">N39+N55+N87+N97</f>
        <v>1522663.5946899999</v>
      </c>
    </row>
    <row r="100" spans="1:14" x14ac:dyDescent="0.35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x14ac:dyDescent="0.35">
      <c r="A101" s="5" t="s">
        <v>123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9">
        <f>SUM(B101:M101)</f>
        <v>0</v>
      </c>
    </row>
    <row r="102" spans="1:14" x14ac:dyDescent="0.35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 x14ac:dyDescent="0.35">
      <c r="A103" s="7" t="s">
        <v>127</v>
      </c>
      <c r="B103" s="39">
        <f>B16-(B99+B101)</f>
        <v>-2047.3800000000047</v>
      </c>
      <c r="C103" s="39">
        <f t="shared" ref="C103:N103" si="29">C16-(C99+C101)</f>
        <v>2550.6199999999953</v>
      </c>
      <c r="D103" s="39">
        <f t="shared" si="29"/>
        <v>2550.6199999999953</v>
      </c>
      <c r="E103" s="39">
        <f t="shared" si="29"/>
        <v>2550.6199999999953</v>
      </c>
      <c r="F103" s="39">
        <f t="shared" si="29"/>
        <v>2550.6199999999953</v>
      </c>
      <c r="G103" s="39">
        <f t="shared" si="29"/>
        <v>2550.6199999999953</v>
      </c>
      <c r="H103" s="39">
        <f t="shared" si="29"/>
        <v>2550.6199999999953</v>
      </c>
      <c r="I103" s="39">
        <f t="shared" si="29"/>
        <v>2550.6199999999953</v>
      </c>
      <c r="J103" s="39">
        <f t="shared" si="29"/>
        <v>2550.6199999999953</v>
      </c>
      <c r="K103" s="39">
        <f t="shared" si="29"/>
        <v>2550.6199999999953</v>
      </c>
      <c r="L103" s="39">
        <f t="shared" si="29"/>
        <v>2550.6199999999953</v>
      </c>
      <c r="M103" s="39">
        <f t="shared" si="29"/>
        <v>-2047.3800000000047</v>
      </c>
      <c r="N103" s="39">
        <f t="shared" si="29"/>
        <v>21411.460309999995</v>
      </c>
    </row>
    <row r="104" spans="1:14" x14ac:dyDescent="0.35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x14ac:dyDescent="0.35">
      <c r="A105" s="7" t="s">
        <v>125</v>
      </c>
      <c r="B105" s="39">
        <f>ROUND(B3+B103,2)</f>
        <v>241352.58</v>
      </c>
      <c r="C105" s="39">
        <f t="shared" ref="C105:M105" si="30">ROUND(C3+C103,2)</f>
        <v>243903.2</v>
      </c>
      <c r="D105" s="39">
        <f t="shared" si="30"/>
        <v>246453.82</v>
      </c>
      <c r="E105" s="39">
        <f t="shared" si="30"/>
        <v>249004.44</v>
      </c>
      <c r="F105" s="39">
        <f t="shared" si="30"/>
        <v>251555.06</v>
      </c>
      <c r="G105" s="39">
        <f t="shared" si="30"/>
        <v>254105.68</v>
      </c>
      <c r="H105" s="39">
        <f t="shared" si="30"/>
        <v>256656.3</v>
      </c>
      <c r="I105" s="39">
        <f t="shared" si="30"/>
        <v>259206.92</v>
      </c>
      <c r="J105" s="39">
        <f t="shared" si="30"/>
        <v>261757.54</v>
      </c>
      <c r="K105" s="39">
        <f t="shared" si="30"/>
        <v>264308.15999999997</v>
      </c>
      <c r="L105" s="39">
        <f t="shared" si="30"/>
        <v>266858.78000000003</v>
      </c>
      <c r="M105" s="39">
        <f t="shared" si="30"/>
        <v>264811.40000000002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76" activePane="bottomLeft" state="frozen"/>
      <selection pane="bottomLeft" activeCell="C92" sqref="C92:M96"/>
    </sheetView>
  </sheetViews>
  <sheetFormatPr defaultColWidth="8.7265625"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85" t="s">
        <v>128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x14ac:dyDescent="0.35">
      <c r="A2" s="5" t="str">
        <f>'5yr Budget Projection'!A2</f>
        <v xml:space="preserve">School Name: Tapestry Public Charter School Clayton </v>
      </c>
      <c r="B2" s="6" t="s">
        <v>104</v>
      </c>
      <c r="C2" s="6" t="s">
        <v>105</v>
      </c>
      <c r="D2" s="6" t="s">
        <v>106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  <c r="J2" s="6" t="s">
        <v>112</v>
      </c>
      <c r="K2" s="6" t="s">
        <v>113</v>
      </c>
      <c r="L2" s="6" t="s">
        <v>114</v>
      </c>
      <c r="M2" s="6" t="s">
        <v>115</v>
      </c>
      <c r="N2" s="6" t="s">
        <v>116</v>
      </c>
    </row>
    <row r="3" spans="1:14" x14ac:dyDescent="0.35">
      <c r="A3" s="55" t="s">
        <v>117</v>
      </c>
      <c r="B3" s="50">
        <f>'Cash Flow Proj Yr1'!M105</f>
        <v>264811.40000000002</v>
      </c>
      <c r="C3" s="50">
        <f>B107</f>
        <v>269992.74</v>
      </c>
      <c r="D3" s="50">
        <f t="shared" ref="D3:M3" si="0">C107</f>
        <v>275174.08</v>
      </c>
      <c r="E3" s="50">
        <f t="shared" si="0"/>
        <v>280355.42</v>
      </c>
      <c r="F3" s="50">
        <f t="shared" si="0"/>
        <v>285536.76</v>
      </c>
      <c r="G3" s="50">
        <f t="shared" si="0"/>
        <v>290718.09999999998</v>
      </c>
      <c r="H3" s="50">
        <f t="shared" si="0"/>
        <v>295899.44</v>
      </c>
      <c r="I3" s="50">
        <f t="shared" si="0"/>
        <v>301080.78000000003</v>
      </c>
      <c r="J3" s="50">
        <f t="shared" si="0"/>
        <v>306262.12</v>
      </c>
      <c r="K3" s="50">
        <f t="shared" si="0"/>
        <v>311443.46000000002</v>
      </c>
      <c r="L3" s="50">
        <f t="shared" si="0"/>
        <v>316624.8</v>
      </c>
      <c r="M3" s="50">
        <f t="shared" si="0"/>
        <v>321806.14</v>
      </c>
      <c r="N3" s="50"/>
    </row>
    <row r="4" spans="1:14" ht="26" x14ac:dyDescent="0.6">
      <c r="A4" s="56" t="s">
        <v>118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119</v>
      </c>
      <c r="B5" s="53">
        <f>$N$5/12</f>
        <v>147146.20433874999</v>
      </c>
      <c r="C5" s="53">
        <f>$N$5/12</f>
        <v>147146.20433874999</v>
      </c>
      <c r="D5" s="53">
        <f t="shared" ref="D5:M5" si="1">$N$5/12</f>
        <v>147146.20433874999</v>
      </c>
      <c r="E5" s="53">
        <f t="shared" si="1"/>
        <v>147146.20433874999</v>
      </c>
      <c r="F5" s="53">
        <f t="shared" si="1"/>
        <v>147146.20433874999</v>
      </c>
      <c r="G5" s="53">
        <f t="shared" si="1"/>
        <v>147146.20433874999</v>
      </c>
      <c r="H5" s="53">
        <f t="shared" si="1"/>
        <v>147146.20433874999</v>
      </c>
      <c r="I5" s="53">
        <f t="shared" si="1"/>
        <v>147146.20433874999</v>
      </c>
      <c r="J5" s="53">
        <f t="shared" si="1"/>
        <v>147146.20433874999</v>
      </c>
      <c r="K5" s="53">
        <f t="shared" si="1"/>
        <v>147146.20433874999</v>
      </c>
      <c r="L5" s="53">
        <f t="shared" si="1"/>
        <v>147146.20433874999</v>
      </c>
      <c r="M5" s="53">
        <f t="shared" si="1"/>
        <v>147146.20433874999</v>
      </c>
      <c r="N5" s="42">
        <f>'5yr Budget Projection'!F20+'5yr Budget Projection'!F21</f>
        <v>1765754.4520649998</v>
      </c>
    </row>
    <row r="6" spans="1:14" x14ac:dyDescent="0.35">
      <c r="A6" s="8" t="s">
        <v>134</v>
      </c>
      <c r="B6" s="32">
        <f>'5yr Budget Projection'!F23/12</f>
        <v>6250</v>
      </c>
      <c r="C6" s="32">
        <f>B6</f>
        <v>6250</v>
      </c>
      <c r="D6" s="32">
        <f t="shared" ref="D6:M6" si="2">C6</f>
        <v>6250</v>
      </c>
      <c r="E6" s="32">
        <f t="shared" si="2"/>
        <v>6250</v>
      </c>
      <c r="F6" s="32">
        <f t="shared" si="2"/>
        <v>6250</v>
      </c>
      <c r="G6" s="32">
        <f t="shared" si="2"/>
        <v>6250</v>
      </c>
      <c r="H6" s="32">
        <f t="shared" si="2"/>
        <v>6250</v>
      </c>
      <c r="I6" s="32">
        <f t="shared" si="2"/>
        <v>6250</v>
      </c>
      <c r="J6" s="32">
        <f t="shared" si="2"/>
        <v>6250</v>
      </c>
      <c r="K6" s="32">
        <f t="shared" si="2"/>
        <v>6250</v>
      </c>
      <c r="L6" s="32">
        <f t="shared" si="2"/>
        <v>6250</v>
      </c>
      <c r="M6" s="32">
        <f t="shared" si="2"/>
        <v>6250</v>
      </c>
      <c r="N6" s="31">
        <f>SUM(B6:M6)</f>
        <v>75000</v>
      </c>
    </row>
    <row r="7" spans="1:14" x14ac:dyDescent="0.35">
      <c r="A7" s="8" t="s">
        <v>135</v>
      </c>
      <c r="B7" s="32">
        <f>'5yr Budget Projection'!F24/12</f>
        <v>0</v>
      </c>
      <c r="C7" s="32">
        <f t="shared" ref="C7:M8" si="3">B7</f>
        <v>0</v>
      </c>
      <c r="D7" s="32">
        <f t="shared" si="3"/>
        <v>0</v>
      </c>
      <c r="E7" s="32">
        <f t="shared" si="3"/>
        <v>0</v>
      </c>
      <c r="F7" s="32">
        <f t="shared" si="3"/>
        <v>0</v>
      </c>
      <c r="G7" s="32">
        <f t="shared" si="3"/>
        <v>0</v>
      </c>
      <c r="H7" s="32">
        <f t="shared" si="3"/>
        <v>0</v>
      </c>
      <c r="I7" s="32">
        <f t="shared" si="3"/>
        <v>0</v>
      </c>
      <c r="J7" s="32">
        <f t="shared" si="3"/>
        <v>0</v>
      </c>
      <c r="K7" s="32">
        <f t="shared" si="3"/>
        <v>0</v>
      </c>
      <c r="L7" s="32">
        <f t="shared" si="3"/>
        <v>0</v>
      </c>
      <c r="M7" s="32">
        <f t="shared" si="3"/>
        <v>0</v>
      </c>
      <c r="N7" s="31">
        <f t="shared" ref="N7:N15" si="4">SUM(B7:M7)</f>
        <v>0</v>
      </c>
    </row>
    <row r="8" spans="1:14" x14ac:dyDescent="0.35">
      <c r="A8" s="8" t="s">
        <v>26</v>
      </c>
      <c r="B8" s="32">
        <f>'5yr Budget Projection'!F22/12</f>
        <v>4580.583333333333</v>
      </c>
      <c r="C8" s="32">
        <f t="shared" si="3"/>
        <v>4580.583333333333</v>
      </c>
      <c r="D8" s="32">
        <f t="shared" si="3"/>
        <v>4580.583333333333</v>
      </c>
      <c r="E8" s="32">
        <f t="shared" si="3"/>
        <v>4580.583333333333</v>
      </c>
      <c r="F8" s="32">
        <f t="shared" si="3"/>
        <v>4580.583333333333</v>
      </c>
      <c r="G8" s="32">
        <f t="shared" si="3"/>
        <v>4580.583333333333</v>
      </c>
      <c r="H8" s="32">
        <f t="shared" si="3"/>
        <v>4580.583333333333</v>
      </c>
      <c r="I8" s="32">
        <f t="shared" si="3"/>
        <v>4580.583333333333</v>
      </c>
      <c r="J8" s="32">
        <f t="shared" si="3"/>
        <v>4580.583333333333</v>
      </c>
      <c r="K8" s="32">
        <f t="shared" si="3"/>
        <v>4580.583333333333</v>
      </c>
      <c r="L8" s="32">
        <f t="shared" si="3"/>
        <v>4580.583333333333</v>
      </c>
      <c r="M8" s="32">
        <f t="shared" si="3"/>
        <v>4580.583333333333</v>
      </c>
      <c r="N8" s="31">
        <f t="shared" si="4"/>
        <v>54967.000000000007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4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4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4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4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4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4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4"/>
        <v>0</v>
      </c>
    </row>
    <row r="16" spans="1:14" x14ac:dyDescent="0.35">
      <c r="A16" s="7" t="s">
        <v>120</v>
      </c>
      <c r="B16" s="39">
        <f>ROUND(SUM(B5:B15),2)</f>
        <v>157976.79</v>
      </c>
      <c r="C16" s="39">
        <f t="shared" ref="C16:M16" si="5">ROUND(SUM(C5:C15),2)</f>
        <v>157976.79</v>
      </c>
      <c r="D16" s="39">
        <f t="shared" si="5"/>
        <v>157976.79</v>
      </c>
      <c r="E16" s="39">
        <f t="shared" si="5"/>
        <v>157976.79</v>
      </c>
      <c r="F16" s="39">
        <f t="shared" si="5"/>
        <v>157976.79</v>
      </c>
      <c r="G16" s="39">
        <f t="shared" si="5"/>
        <v>157976.79</v>
      </c>
      <c r="H16" s="39">
        <f t="shared" si="5"/>
        <v>157976.79</v>
      </c>
      <c r="I16" s="39">
        <f t="shared" si="5"/>
        <v>157976.79</v>
      </c>
      <c r="J16" s="39">
        <f t="shared" si="5"/>
        <v>157976.79</v>
      </c>
      <c r="K16" s="39">
        <f t="shared" si="5"/>
        <v>157976.79</v>
      </c>
      <c r="L16" s="39">
        <f t="shared" si="5"/>
        <v>157976.79</v>
      </c>
      <c r="M16" s="39">
        <f t="shared" si="5"/>
        <v>157976.79</v>
      </c>
      <c r="N16" s="39">
        <f t="shared" ref="N16" si="6">SUM(N5:N15)</f>
        <v>1895721.4520649998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45" t="s">
        <v>121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 x14ac:dyDescent="0.35">
      <c r="A19" s="54" t="s">
        <v>29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 x14ac:dyDescent="0.35">
      <c r="A20" s="52" t="s">
        <v>30</v>
      </c>
      <c r="B20" s="53">
        <f>'5yr Budget Projection'!F36/12</f>
        <v>8500</v>
      </c>
      <c r="C20" s="53">
        <f>B20</f>
        <v>8500</v>
      </c>
      <c r="D20" s="53">
        <f t="shared" ref="D20:M20" si="7">C20</f>
        <v>8500</v>
      </c>
      <c r="E20" s="53">
        <f t="shared" si="7"/>
        <v>8500</v>
      </c>
      <c r="F20" s="53">
        <f t="shared" si="7"/>
        <v>8500</v>
      </c>
      <c r="G20" s="53">
        <f t="shared" si="7"/>
        <v>8500</v>
      </c>
      <c r="H20" s="53">
        <f t="shared" si="7"/>
        <v>8500</v>
      </c>
      <c r="I20" s="53">
        <f t="shared" si="7"/>
        <v>8500</v>
      </c>
      <c r="J20" s="53">
        <f t="shared" si="7"/>
        <v>8500</v>
      </c>
      <c r="K20" s="53">
        <f t="shared" si="7"/>
        <v>8500</v>
      </c>
      <c r="L20" s="53">
        <f t="shared" si="7"/>
        <v>8500</v>
      </c>
      <c r="M20" s="53">
        <f t="shared" si="7"/>
        <v>8500</v>
      </c>
      <c r="N20" s="42">
        <f>'5yr Budget Projection'!F36</f>
        <v>102000</v>
      </c>
    </row>
    <row r="21" spans="1:14" x14ac:dyDescent="0.35">
      <c r="A21" s="5" t="s">
        <v>31</v>
      </c>
      <c r="B21" s="32">
        <f>'5yr Budget Projection'!F37/12</f>
        <v>5015</v>
      </c>
      <c r="C21" s="32">
        <f t="shared" ref="C21:M38" si="8">B21</f>
        <v>5015</v>
      </c>
      <c r="D21" s="32">
        <f t="shared" si="8"/>
        <v>5015</v>
      </c>
      <c r="E21" s="32">
        <f t="shared" si="8"/>
        <v>5015</v>
      </c>
      <c r="F21" s="32">
        <f t="shared" si="8"/>
        <v>5015</v>
      </c>
      <c r="G21" s="32">
        <f t="shared" si="8"/>
        <v>5015</v>
      </c>
      <c r="H21" s="32">
        <f t="shared" si="8"/>
        <v>5015</v>
      </c>
      <c r="I21" s="32">
        <f t="shared" si="8"/>
        <v>5015</v>
      </c>
      <c r="J21" s="32">
        <f t="shared" si="8"/>
        <v>5015</v>
      </c>
      <c r="K21" s="32">
        <f t="shared" si="8"/>
        <v>5015</v>
      </c>
      <c r="L21" s="32">
        <f t="shared" si="8"/>
        <v>5015</v>
      </c>
      <c r="M21" s="32">
        <f t="shared" si="8"/>
        <v>5015</v>
      </c>
      <c r="N21" s="31">
        <f>'5yr Budget Projection'!F37</f>
        <v>60180</v>
      </c>
    </row>
    <row r="22" spans="1:14" x14ac:dyDescent="0.35">
      <c r="A22" s="5" t="s">
        <v>32</v>
      </c>
      <c r="B22" s="32">
        <f>'5yr Budget Projection'!F38/12</f>
        <v>1912.5</v>
      </c>
      <c r="C22" s="32">
        <f t="shared" si="8"/>
        <v>1912.5</v>
      </c>
      <c r="D22" s="32">
        <f t="shared" si="8"/>
        <v>1912.5</v>
      </c>
      <c r="E22" s="32">
        <f t="shared" si="8"/>
        <v>1912.5</v>
      </c>
      <c r="F22" s="32">
        <f t="shared" si="8"/>
        <v>1912.5</v>
      </c>
      <c r="G22" s="32">
        <f t="shared" si="8"/>
        <v>1912.5</v>
      </c>
      <c r="H22" s="32">
        <f t="shared" si="8"/>
        <v>1912.5</v>
      </c>
      <c r="I22" s="32">
        <f t="shared" si="8"/>
        <v>1912.5</v>
      </c>
      <c r="J22" s="32">
        <f t="shared" si="8"/>
        <v>1912.5</v>
      </c>
      <c r="K22" s="32">
        <f t="shared" si="8"/>
        <v>1912.5</v>
      </c>
      <c r="L22" s="32">
        <f t="shared" si="8"/>
        <v>1912.5</v>
      </c>
      <c r="M22" s="32">
        <f t="shared" si="8"/>
        <v>1912.5</v>
      </c>
      <c r="N22" s="31">
        <f>'5yr Budget Projection'!F38</f>
        <v>22950</v>
      </c>
    </row>
    <row r="23" spans="1:14" x14ac:dyDescent="0.35">
      <c r="A23" s="5" t="s">
        <v>33</v>
      </c>
      <c r="B23" s="32">
        <f>'5yr Budget Projection'!F39/12</f>
        <v>28988.571428571431</v>
      </c>
      <c r="C23" s="32">
        <f t="shared" si="8"/>
        <v>28988.571428571431</v>
      </c>
      <c r="D23" s="32">
        <f t="shared" si="8"/>
        <v>28988.571428571431</v>
      </c>
      <c r="E23" s="32">
        <f t="shared" si="8"/>
        <v>28988.571428571431</v>
      </c>
      <c r="F23" s="32">
        <f t="shared" si="8"/>
        <v>28988.571428571431</v>
      </c>
      <c r="G23" s="32">
        <f t="shared" si="8"/>
        <v>28988.571428571431</v>
      </c>
      <c r="H23" s="32">
        <f t="shared" si="8"/>
        <v>28988.571428571431</v>
      </c>
      <c r="I23" s="32">
        <f t="shared" si="8"/>
        <v>28988.571428571431</v>
      </c>
      <c r="J23" s="32">
        <f t="shared" si="8"/>
        <v>28988.571428571431</v>
      </c>
      <c r="K23" s="32">
        <f t="shared" si="8"/>
        <v>28988.571428571431</v>
      </c>
      <c r="L23" s="32">
        <f t="shared" si="8"/>
        <v>28988.571428571431</v>
      </c>
      <c r="M23" s="32">
        <f t="shared" si="8"/>
        <v>28988.571428571431</v>
      </c>
      <c r="N23" s="31">
        <f>'5yr Budget Projection'!F39</f>
        <v>347862.85714285716</v>
      </c>
    </row>
    <row r="24" spans="1:14" x14ac:dyDescent="0.35">
      <c r="A24" s="5" t="s">
        <v>34</v>
      </c>
      <c r="B24" s="32">
        <f>'5yr Budget Projection'!F40/12</f>
        <v>5015</v>
      </c>
      <c r="C24" s="32">
        <f t="shared" si="8"/>
        <v>5015</v>
      </c>
      <c r="D24" s="32">
        <f t="shared" si="8"/>
        <v>5015</v>
      </c>
      <c r="E24" s="32">
        <f t="shared" si="8"/>
        <v>5015</v>
      </c>
      <c r="F24" s="32">
        <f t="shared" si="8"/>
        <v>5015</v>
      </c>
      <c r="G24" s="32">
        <f t="shared" si="8"/>
        <v>5015</v>
      </c>
      <c r="H24" s="32">
        <f t="shared" si="8"/>
        <v>5015</v>
      </c>
      <c r="I24" s="32">
        <f t="shared" si="8"/>
        <v>5015</v>
      </c>
      <c r="J24" s="32">
        <f t="shared" si="8"/>
        <v>5015</v>
      </c>
      <c r="K24" s="32">
        <f t="shared" si="8"/>
        <v>5015</v>
      </c>
      <c r="L24" s="32">
        <f t="shared" si="8"/>
        <v>5015</v>
      </c>
      <c r="M24" s="32">
        <f t="shared" si="8"/>
        <v>5015</v>
      </c>
      <c r="N24" s="31">
        <f>'5yr Budget Projection'!F40</f>
        <v>60180</v>
      </c>
    </row>
    <row r="25" spans="1:14" x14ac:dyDescent="0.35">
      <c r="A25" s="5" t="s">
        <v>35</v>
      </c>
      <c r="B25" s="32">
        <f>'5yr Budget Projection'!F41/12</f>
        <v>0</v>
      </c>
      <c r="C25" s="32">
        <f t="shared" si="8"/>
        <v>0</v>
      </c>
      <c r="D25" s="32">
        <f t="shared" si="8"/>
        <v>0</v>
      </c>
      <c r="E25" s="32">
        <f t="shared" si="8"/>
        <v>0</v>
      </c>
      <c r="F25" s="32">
        <f t="shared" si="8"/>
        <v>0</v>
      </c>
      <c r="G25" s="32">
        <f t="shared" si="8"/>
        <v>0</v>
      </c>
      <c r="H25" s="32">
        <f t="shared" si="8"/>
        <v>0</v>
      </c>
      <c r="I25" s="32">
        <f t="shared" si="8"/>
        <v>0</v>
      </c>
      <c r="J25" s="32">
        <f t="shared" si="8"/>
        <v>0</v>
      </c>
      <c r="K25" s="32">
        <f t="shared" si="8"/>
        <v>0</v>
      </c>
      <c r="L25" s="32">
        <f t="shared" si="8"/>
        <v>0</v>
      </c>
      <c r="M25" s="32">
        <f t="shared" si="8"/>
        <v>0</v>
      </c>
      <c r="N25" s="31">
        <f>'5yr Budget Projection'!F41</f>
        <v>0</v>
      </c>
    </row>
    <row r="26" spans="1:14" x14ac:dyDescent="0.35">
      <c r="A26" s="5" t="s">
        <v>36</v>
      </c>
      <c r="B26" s="32">
        <f>'5yr Budget Projection'!F42/12</f>
        <v>0</v>
      </c>
      <c r="C26" s="32">
        <f t="shared" si="8"/>
        <v>0</v>
      </c>
      <c r="D26" s="32">
        <f t="shared" si="8"/>
        <v>0</v>
      </c>
      <c r="E26" s="32">
        <f t="shared" si="8"/>
        <v>0</v>
      </c>
      <c r="F26" s="32">
        <f t="shared" si="8"/>
        <v>0</v>
      </c>
      <c r="G26" s="32">
        <f t="shared" si="8"/>
        <v>0</v>
      </c>
      <c r="H26" s="32">
        <f t="shared" si="8"/>
        <v>0</v>
      </c>
      <c r="I26" s="32">
        <f t="shared" si="8"/>
        <v>0</v>
      </c>
      <c r="J26" s="32">
        <f t="shared" si="8"/>
        <v>0</v>
      </c>
      <c r="K26" s="32">
        <f t="shared" si="8"/>
        <v>0</v>
      </c>
      <c r="L26" s="32">
        <f t="shared" si="8"/>
        <v>0</v>
      </c>
      <c r="M26" s="32">
        <f t="shared" si="8"/>
        <v>0</v>
      </c>
      <c r="N26" s="31">
        <f>'5yr Budget Projection'!F42</f>
        <v>0</v>
      </c>
    </row>
    <row r="27" spans="1:14" x14ac:dyDescent="0.35">
      <c r="A27" s="5" t="s">
        <v>37</v>
      </c>
      <c r="B27" s="32">
        <f>'5yr Budget Projection'!F43/12</f>
        <v>6375</v>
      </c>
      <c r="C27" s="32">
        <f t="shared" si="8"/>
        <v>6375</v>
      </c>
      <c r="D27" s="32">
        <f t="shared" si="8"/>
        <v>6375</v>
      </c>
      <c r="E27" s="32">
        <f t="shared" si="8"/>
        <v>6375</v>
      </c>
      <c r="F27" s="32">
        <f t="shared" si="8"/>
        <v>6375</v>
      </c>
      <c r="G27" s="32">
        <f t="shared" si="8"/>
        <v>6375</v>
      </c>
      <c r="H27" s="32">
        <f t="shared" si="8"/>
        <v>6375</v>
      </c>
      <c r="I27" s="32">
        <f t="shared" si="8"/>
        <v>6375</v>
      </c>
      <c r="J27" s="32">
        <f t="shared" si="8"/>
        <v>6375</v>
      </c>
      <c r="K27" s="32">
        <f t="shared" si="8"/>
        <v>6375</v>
      </c>
      <c r="L27" s="32">
        <f t="shared" si="8"/>
        <v>6375</v>
      </c>
      <c r="M27" s="32">
        <f t="shared" si="8"/>
        <v>6375</v>
      </c>
      <c r="N27" s="31">
        <f>'5yr Budget Projection'!F43</f>
        <v>76500</v>
      </c>
    </row>
    <row r="28" spans="1:14" x14ac:dyDescent="0.35">
      <c r="A28" s="5" t="s">
        <v>38</v>
      </c>
      <c r="B28" s="32">
        <f>'5yr Budget Projection'!F44/12</f>
        <v>4675</v>
      </c>
      <c r="C28" s="32">
        <f t="shared" si="8"/>
        <v>4675</v>
      </c>
      <c r="D28" s="32">
        <f t="shared" si="8"/>
        <v>4675</v>
      </c>
      <c r="E28" s="32">
        <f t="shared" si="8"/>
        <v>4675</v>
      </c>
      <c r="F28" s="32">
        <f t="shared" si="8"/>
        <v>4675</v>
      </c>
      <c r="G28" s="32">
        <f t="shared" si="8"/>
        <v>4675</v>
      </c>
      <c r="H28" s="32">
        <f t="shared" si="8"/>
        <v>4675</v>
      </c>
      <c r="I28" s="32">
        <f t="shared" si="8"/>
        <v>4675</v>
      </c>
      <c r="J28" s="32">
        <f t="shared" si="8"/>
        <v>4675</v>
      </c>
      <c r="K28" s="32">
        <f t="shared" si="8"/>
        <v>4675</v>
      </c>
      <c r="L28" s="32">
        <f t="shared" si="8"/>
        <v>4675</v>
      </c>
      <c r="M28" s="32">
        <f t="shared" si="8"/>
        <v>4675</v>
      </c>
      <c r="N28" s="31">
        <f>'5yr Budget Projection'!F44</f>
        <v>56100</v>
      </c>
    </row>
    <row r="29" spans="1:14" x14ac:dyDescent="0.35">
      <c r="A29" s="5" t="s">
        <v>39</v>
      </c>
      <c r="B29" s="32">
        <f>'5yr Budget Projection'!F45/12</f>
        <v>0</v>
      </c>
      <c r="C29" s="32">
        <f t="shared" si="8"/>
        <v>0</v>
      </c>
      <c r="D29" s="32">
        <f t="shared" si="8"/>
        <v>0</v>
      </c>
      <c r="E29" s="32">
        <f t="shared" si="8"/>
        <v>0</v>
      </c>
      <c r="F29" s="32">
        <f t="shared" si="8"/>
        <v>0</v>
      </c>
      <c r="G29" s="32">
        <f t="shared" si="8"/>
        <v>0</v>
      </c>
      <c r="H29" s="32">
        <f t="shared" si="8"/>
        <v>0</v>
      </c>
      <c r="I29" s="32">
        <f t="shared" si="8"/>
        <v>0</v>
      </c>
      <c r="J29" s="32">
        <f t="shared" si="8"/>
        <v>0</v>
      </c>
      <c r="K29" s="32">
        <f t="shared" si="8"/>
        <v>0</v>
      </c>
      <c r="L29" s="32">
        <f t="shared" si="8"/>
        <v>0</v>
      </c>
      <c r="M29" s="32">
        <f t="shared" si="8"/>
        <v>0</v>
      </c>
      <c r="N29" s="31">
        <f>'5yr Budget Projection'!F45</f>
        <v>0</v>
      </c>
    </row>
    <row r="30" spans="1:14" x14ac:dyDescent="0.35">
      <c r="A30" s="5" t="s">
        <v>40</v>
      </c>
      <c r="B30" s="32">
        <f>'5yr Budget Projection'!F46/12</f>
        <v>0</v>
      </c>
      <c r="C30" s="32">
        <f t="shared" si="8"/>
        <v>0</v>
      </c>
      <c r="D30" s="32">
        <f t="shared" si="8"/>
        <v>0</v>
      </c>
      <c r="E30" s="32">
        <f t="shared" si="8"/>
        <v>0</v>
      </c>
      <c r="F30" s="32">
        <f t="shared" si="8"/>
        <v>0</v>
      </c>
      <c r="G30" s="32">
        <f t="shared" si="8"/>
        <v>0</v>
      </c>
      <c r="H30" s="32">
        <f t="shared" si="8"/>
        <v>0</v>
      </c>
      <c r="I30" s="32">
        <f t="shared" si="8"/>
        <v>0</v>
      </c>
      <c r="J30" s="32">
        <f t="shared" si="8"/>
        <v>0</v>
      </c>
      <c r="K30" s="32">
        <f t="shared" si="8"/>
        <v>0</v>
      </c>
      <c r="L30" s="32">
        <f t="shared" si="8"/>
        <v>0</v>
      </c>
      <c r="M30" s="32">
        <f t="shared" si="8"/>
        <v>0</v>
      </c>
      <c r="N30" s="31">
        <f>'5yr Budget Projection'!F46</f>
        <v>0</v>
      </c>
    </row>
    <row r="31" spans="1:14" x14ac:dyDescent="0.35">
      <c r="A31" s="5" t="s">
        <v>41</v>
      </c>
      <c r="B31" s="32">
        <f>'5yr Budget Projection'!F47/12</f>
        <v>1700</v>
      </c>
      <c r="C31" s="32">
        <f t="shared" si="8"/>
        <v>1700</v>
      </c>
      <c r="D31" s="32">
        <f t="shared" si="8"/>
        <v>1700</v>
      </c>
      <c r="E31" s="32">
        <f t="shared" si="8"/>
        <v>1700</v>
      </c>
      <c r="F31" s="32">
        <f t="shared" si="8"/>
        <v>1700</v>
      </c>
      <c r="G31" s="32">
        <f t="shared" si="8"/>
        <v>1700</v>
      </c>
      <c r="H31" s="32">
        <f t="shared" si="8"/>
        <v>1700</v>
      </c>
      <c r="I31" s="32">
        <f t="shared" si="8"/>
        <v>1700</v>
      </c>
      <c r="J31" s="32">
        <f t="shared" si="8"/>
        <v>1700</v>
      </c>
      <c r="K31" s="32">
        <f t="shared" si="8"/>
        <v>1700</v>
      </c>
      <c r="L31" s="32">
        <f t="shared" si="8"/>
        <v>1700</v>
      </c>
      <c r="M31" s="32">
        <f t="shared" si="8"/>
        <v>1700</v>
      </c>
      <c r="N31" s="31">
        <f>'5yr Budget Projection'!F47</f>
        <v>20400</v>
      </c>
    </row>
    <row r="32" spans="1:14" x14ac:dyDescent="0.35">
      <c r="A32" s="5" t="s">
        <v>42</v>
      </c>
      <c r="B32" s="32">
        <f>'5yr Budget Projection'!F48/12</f>
        <v>0</v>
      </c>
      <c r="C32" s="32">
        <f t="shared" si="8"/>
        <v>0</v>
      </c>
      <c r="D32" s="32">
        <f t="shared" si="8"/>
        <v>0</v>
      </c>
      <c r="E32" s="32">
        <f t="shared" si="8"/>
        <v>0</v>
      </c>
      <c r="F32" s="32">
        <f t="shared" si="8"/>
        <v>0</v>
      </c>
      <c r="G32" s="32">
        <f t="shared" si="8"/>
        <v>0</v>
      </c>
      <c r="H32" s="32">
        <f t="shared" si="8"/>
        <v>0</v>
      </c>
      <c r="I32" s="32">
        <f t="shared" si="8"/>
        <v>0</v>
      </c>
      <c r="J32" s="32">
        <f t="shared" si="8"/>
        <v>0</v>
      </c>
      <c r="K32" s="32">
        <f t="shared" si="8"/>
        <v>0</v>
      </c>
      <c r="L32" s="32">
        <f t="shared" si="8"/>
        <v>0</v>
      </c>
      <c r="M32" s="32">
        <f t="shared" si="8"/>
        <v>0</v>
      </c>
      <c r="N32" s="31">
        <f>'5yr Budget Projection'!F48</f>
        <v>0</v>
      </c>
    </row>
    <row r="33" spans="1:14" x14ac:dyDescent="0.35">
      <c r="A33" s="5" t="s">
        <v>43</v>
      </c>
      <c r="B33" s="32">
        <f>'5yr Budget Projection'!F49/12</f>
        <v>26309.384833333334</v>
      </c>
      <c r="C33" s="32">
        <f t="shared" si="8"/>
        <v>26309.384833333334</v>
      </c>
      <c r="D33" s="32">
        <f t="shared" si="8"/>
        <v>26309.384833333334</v>
      </c>
      <c r="E33" s="32">
        <f t="shared" si="8"/>
        <v>26309.384833333334</v>
      </c>
      <c r="F33" s="32">
        <f t="shared" si="8"/>
        <v>26309.384833333334</v>
      </c>
      <c r="G33" s="32">
        <f t="shared" si="8"/>
        <v>26309.384833333334</v>
      </c>
      <c r="H33" s="32">
        <f t="shared" si="8"/>
        <v>26309.384833333334</v>
      </c>
      <c r="I33" s="32">
        <f t="shared" si="8"/>
        <v>26309.384833333334</v>
      </c>
      <c r="J33" s="32">
        <f t="shared" si="8"/>
        <v>26309.384833333334</v>
      </c>
      <c r="K33" s="32">
        <f t="shared" si="8"/>
        <v>26309.384833333334</v>
      </c>
      <c r="L33" s="32">
        <f t="shared" si="8"/>
        <v>26309.384833333334</v>
      </c>
      <c r="M33" s="32">
        <f t="shared" si="8"/>
        <v>26309.384833333334</v>
      </c>
      <c r="N33" s="31">
        <f>'5yr Budget Projection'!F49</f>
        <v>315712.61800000002</v>
      </c>
    </row>
    <row r="34" spans="1:14" x14ac:dyDescent="0.35">
      <c r="A34" s="5" t="s">
        <v>44</v>
      </c>
      <c r="B34" s="32">
        <f>'5yr Budget Projection'!F50/12</f>
        <v>3908.3333333333335</v>
      </c>
      <c r="C34" s="32">
        <f t="shared" si="8"/>
        <v>3908.3333333333335</v>
      </c>
      <c r="D34" s="32">
        <f t="shared" si="8"/>
        <v>3908.3333333333335</v>
      </c>
      <c r="E34" s="32">
        <f t="shared" si="8"/>
        <v>3908.3333333333335</v>
      </c>
      <c r="F34" s="32">
        <f t="shared" si="8"/>
        <v>3908.3333333333335</v>
      </c>
      <c r="G34" s="32">
        <f t="shared" si="8"/>
        <v>3908.3333333333335</v>
      </c>
      <c r="H34" s="32">
        <f t="shared" si="8"/>
        <v>3908.3333333333335</v>
      </c>
      <c r="I34" s="32">
        <f t="shared" si="8"/>
        <v>3908.3333333333335</v>
      </c>
      <c r="J34" s="32">
        <f t="shared" si="8"/>
        <v>3908.3333333333335</v>
      </c>
      <c r="K34" s="32">
        <f t="shared" si="8"/>
        <v>3908.3333333333335</v>
      </c>
      <c r="L34" s="32">
        <f t="shared" si="8"/>
        <v>3908.3333333333335</v>
      </c>
      <c r="M34" s="32">
        <f t="shared" si="8"/>
        <v>3908.3333333333335</v>
      </c>
      <c r="N34" s="31">
        <f>'5yr Budget Projection'!F50</f>
        <v>46900</v>
      </c>
    </row>
    <row r="35" spans="1:14" x14ac:dyDescent="0.35">
      <c r="A35" s="5" t="s">
        <v>45</v>
      </c>
      <c r="B35" s="32">
        <f>'5yr Budget Projection'!F51/12</f>
        <v>2628.280971788095</v>
      </c>
      <c r="C35" s="32">
        <f t="shared" si="8"/>
        <v>2628.280971788095</v>
      </c>
      <c r="D35" s="32">
        <f t="shared" si="8"/>
        <v>2628.280971788095</v>
      </c>
      <c r="E35" s="32">
        <f t="shared" si="8"/>
        <v>2628.280971788095</v>
      </c>
      <c r="F35" s="32">
        <f t="shared" si="8"/>
        <v>2628.280971788095</v>
      </c>
      <c r="G35" s="32">
        <f t="shared" si="8"/>
        <v>2628.280971788095</v>
      </c>
      <c r="H35" s="32">
        <f t="shared" si="8"/>
        <v>2628.280971788095</v>
      </c>
      <c r="I35" s="32">
        <f t="shared" si="8"/>
        <v>2628.280971788095</v>
      </c>
      <c r="J35" s="32">
        <f t="shared" si="8"/>
        <v>2628.280971788095</v>
      </c>
      <c r="K35" s="32">
        <f t="shared" si="8"/>
        <v>2628.280971788095</v>
      </c>
      <c r="L35" s="32">
        <f t="shared" si="8"/>
        <v>2628.280971788095</v>
      </c>
      <c r="M35" s="32">
        <f t="shared" si="8"/>
        <v>2628.280971788095</v>
      </c>
      <c r="N35" s="31">
        <f>'5yr Budget Projection'!F51</f>
        <v>31539.371661457139</v>
      </c>
    </row>
    <row r="36" spans="1:14" x14ac:dyDescent="0.35">
      <c r="A36" s="5" t="s">
        <v>46</v>
      </c>
      <c r="B36" s="32">
        <f>'5yr Budget Projection'!F52/12</f>
        <v>0</v>
      </c>
      <c r="C36" s="32">
        <f t="shared" si="8"/>
        <v>0</v>
      </c>
      <c r="D36" s="32">
        <f t="shared" si="8"/>
        <v>0</v>
      </c>
      <c r="E36" s="32">
        <f t="shared" si="8"/>
        <v>0</v>
      </c>
      <c r="F36" s="32">
        <f t="shared" si="8"/>
        <v>0</v>
      </c>
      <c r="G36" s="32">
        <f t="shared" si="8"/>
        <v>0</v>
      </c>
      <c r="H36" s="32">
        <f t="shared" si="8"/>
        <v>0</v>
      </c>
      <c r="I36" s="32">
        <f t="shared" si="8"/>
        <v>0</v>
      </c>
      <c r="J36" s="32">
        <f t="shared" si="8"/>
        <v>0</v>
      </c>
      <c r="K36" s="32">
        <f t="shared" si="8"/>
        <v>0</v>
      </c>
      <c r="L36" s="32">
        <f t="shared" si="8"/>
        <v>0</v>
      </c>
      <c r="M36" s="32">
        <f t="shared" si="8"/>
        <v>0</v>
      </c>
      <c r="N36" s="31">
        <f>'5yr Budget Projection'!F52</f>
        <v>0</v>
      </c>
    </row>
    <row r="37" spans="1:14" x14ac:dyDescent="0.35">
      <c r="A37" s="8" t="str">
        <f>'5yr Budget Projection'!A53</f>
        <v>CEO &amp; COO</v>
      </c>
      <c r="B37" s="32">
        <f>'5yr Budget Projection'!F53/12</f>
        <v>4375</v>
      </c>
      <c r="C37" s="32">
        <f t="shared" si="8"/>
        <v>4375</v>
      </c>
      <c r="D37" s="32">
        <f t="shared" si="8"/>
        <v>4375</v>
      </c>
      <c r="E37" s="32">
        <f t="shared" si="8"/>
        <v>4375</v>
      </c>
      <c r="F37" s="32">
        <f t="shared" si="8"/>
        <v>4375</v>
      </c>
      <c r="G37" s="32">
        <f t="shared" si="8"/>
        <v>4375</v>
      </c>
      <c r="H37" s="32">
        <f t="shared" si="8"/>
        <v>4375</v>
      </c>
      <c r="I37" s="32">
        <f t="shared" si="8"/>
        <v>4375</v>
      </c>
      <c r="J37" s="32">
        <f t="shared" si="8"/>
        <v>4375</v>
      </c>
      <c r="K37" s="32">
        <f t="shared" si="8"/>
        <v>4375</v>
      </c>
      <c r="L37" s="32">
        <f t="shared" si="8"/>
        <v>4375</v>
      </c>
      <c r="M37" s="32">
        <f t="shared" si="8"/>
        <v>4375</v>
      </c>
      <c r="N37" s="31">
        <f>SUM(B37:M37)</f>
        <v>52500</v>
      </c>
    </row>
    <row r="38" spans="1:14" x14ac:dyDescent="0.35">
      <c r="A38" s="8" t="str">
        <f>'5yr Budget Projection'!A54</f>
        <v>Assistant Principle</v>
      </c>
      <c r="B38" s="32">
        <f>'5yr Budget Projection'!F54/12</f>
        <v>7500</v>
      </c>
      <c r="C38" s="32">
        <f t="shared" si="8"/>
        <v>7500</v>
      </c>
      <c r="D38" s="32">
        <f t="shared" si="8"/>
        <v>7500</v>
      </c>
      <c r="E38" s="32">
        <f t="shared" si="8"/>
        <v>7500</v>
      </c>
      <c r="F38" s="32">
        <f t="shared" si="8"/>
        <v>7500</v>
      </c>
      <c r="G38" s="32">
        <f t="shared" si="8"/>
        <v>7500</v>
      </c>
      <c r="H38" s="32">
        <f t="shared" si="8"/>
        <v>7500</v>
      </c>
      <c r="I38" s="32">
        <f t="shared" si="8"/>
        <v>7500</v>
      </c>
      <c r="J38" s="32">
        <f t="shared" si="8"/>
        <v>7500</v>
      </c>
      <c r="K38" s="32">
        <f t="shared" si="8"/>
        <v>7500</v>
      </c>
      <c r="L38" s="32">
        <f t="shared" si="8"/>
        <v>7500</v>
      </c>
      <c r="M38" s="32">
        <f t="shared" si="8"/>
        <v>7500</v>
      </c>
      <c r="N38" s="31">
        <f>SUM(B38:M38)</f>
        <v>90000</v>
      </c>
    </row>
    <row r="39" spans="1:14" x14ac:dyDescent="0.35">
      <c r="A39" s="7" t="s">
        <v>47</v>
      </c>
      <c r="B39" s="39">
        <f>SUM(B20:B38)</f>
        <v>106902.07056702618</v>
      </c>
      <c r="C39" s="39">
        <f t="shared" ref="C39:N39" si="9">SUM(C20:C38)</f>
        <v>106902.07056702618</v>
      </c>
      <c r="D39" s="39">
        <f t="shared" si="9"/>
        <v>106902.07056702618</v>
      </c>
      <c r="E39" s="39">
        <f t="shared" si="9"/>
        <v>106902.07056702618</v>
      </c>
      <c r="F39" s="39">
        <f t="shared" si="9"/>
        <v>106902.07056702618</v>
      </c>
      <c r="G39" s="39">
        <f t="shared" si="9"/>
        <v>106902.07056702618</v>
      </c>
      <c r="H39" s="39">
        <f t="shared" si="9"/>
        <v>106902.07056702618</v>
      </c>
      <c r="I39" s="39">
        <f t="shared" si="9"/>
        <v>106902.07056702618</v>
      </c>
      <c r="J39" s="39">
        <f t="shared" si="9"/>
        <v>106902.07056702618</v>
      </c>
      <c r="K39" s="39">
        <f t="shared" si="9"/>
        <v>106902.07056702618</v>
      </c>
      <c r="L39" s="39">
        <f t="shared" si="9"/>
        <v>106902.07056702618</v>
      </c>
      <c r="M39" s="39">
        <f t="shared" si="9"/>
        <v>106902.07056702618</v>
      </c>
      <c r="N39" s="39">
        <f t="shared" si="9"/>
        <v>1282824.8468043143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48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49</v>
      </c>
      <c r="B42" s="53">
        <f>'5yr Budget Projection'!F58/12</f>
        <v>821.875</v>
      </c>
      <c r="C42" s="53">
        <f>B42</f>
        <v>821.875</v>
      </c>
      <c r="D42" s="53">
        <f t="shared" ref="D42:M42" si="10">C42</f>
        <v>821.875</v>
      </c>
      <c r="E42" s="53">
        <f t="shared" si="10"/>
        <v>821.875</v>
      </c>
      <c r="F42" s="53">
        <f t="shared" si="10"/>
        <v>821.875</v>
      </c>
      <c r="G42" s="53">
        <f t="shared" si="10"/>
        <v>821.875</v>
      </c>
      <c r="H42" s="53">
        <f t="shared" si="10"/>
        <v>821.875</v>
      </c>
      <c r="I42" s="53">
        <f t="shared" si="10"/>
        <v>821.875</v>
      </c>
      <c r="J42" s="53">
        <f t="shared" si="10"/>
        <v>821.875</v>
      </c>
      <c r="K42" s="53">
        <f t="shared" si="10"/>
        <v>821.875</v>
      </c>
      <c r="L42" s="53">
        <f t="shared" si="10"/>
        <v>821.875</v>
      </c>
      <c r="M42" s="53">
        <f t="shared" si="10"/>
        <v>821.875</v>
      </c>
      <c r="N42" s="42">
        <f>SUM(B42:M42)</f>
        <v>9862.5</v>
      </c>
    </row>
    <row r="43" spans="1:14" x14ac:dyDescent="0.35">
      <c r="A43" s="5" t="s">
        <v>50</v>
      </c>
      <c r="B43" s="32">
        <f>'5yr Budget Projection'!F59/12</f>
        <v>416.66666666666669</v>
      </c>
      <c r="C43" s="32">
        <f t="shared" ref="C43:M53" si="11">B43</f>
        <v>416.66666666666669</v>
      </c>
      <c r="D43" s="32">
        <f t="shared" si="11"/>
        <v>416.66666666666669</v>
      </c>
      <c r="E43" s="32">
        <f t="shared" si="11"/>
        <v>416.66666666666669</v>
      </c>
      <c r="F43" s="32">
        <f t="shared" si="11"/>
        <v>416.66666666666669</v>
      </c>
      <c r="G43" s="32">
        <f t="shared" si="11"/>
        <v>416.66666666666669</v>
      </c>
      <c r="H43" s="32">
        <f t="shared" si="11"/>
        <v>416.66666666666669</v>
      </c>
      <c r="I43" s="32">
        <f t="shared" si="11"/>
        <v>416.66666666666669</v>
      </c>
      <c r="J43" s="32">
        <f t="shared" si="11"/>
        <v>416.66666666666669</v>
      </c>
      <c r="K43" s="32">
        <f t="shared" si="11"/>
        <v>416.66666666666669</v>
      </c>
      <c r="L43" s="32">
        <f t="shared" si="11"/>
        <v>416.66666666666669</v>
      </c>
      <c r="M43" s="32">
        <f t="shared" si="11"/>
        <v>416.66666666666669</v>
      </c>
      <c r="N43" s="31">
        <f t="shared" ref="N43:N54" si="12">SUM(B43:M43)</f>
        <v>5000</v>
      </c>
    </row>
    <row r="44" spans="1:14" x14ac:dyDescent="0.35">
      <c r="A44" s="5" t="s">
        <v>51</v>
      </c>
      <c r="B44" s="32">
        <f>'5yr Budget Projection'!F60/12</f>
        <v>447.91666666666669</v>
      </c>
      <c r="C44" s="32">
        <f t="shared" si="11"/>
        <v>447.91666666666669</v>
      </c>
      <c r="D44" s="32">
        <f t="shared" si="11"/>
        <v>447.91666666666669</v>
      </c>
      <c r="E44" s="32">
        <f t="shared" si="11"/>
        <v>447.91666666666669</v>
      </c>
      <c r="F44" s="32">
        <f t="shared" si="11"/>
        <v>447.91666666666669</v>
      </c>
      <c r="G44" s="32">
        <f t="shared" si="11"/>
        <v>447.91666666666669</v>
      </c>
      <c r="H44" s="32">
        <f t="shared" si="11"/>
        <v>447.91666666666669</v>
      </c>
      <c r="I44" s="32">
        <f t="shared" si="11"/>
        <v>447.91666666666669</v>
      </c>
      <c r="J44" s="32">
        <f t="shared" si="11"/>
        <v>447.91666666666669</v>
      </c>
      <c r="K44" s="32">
        <f t="shared" si="11"/>
        <v>447.91666666666669</v>
      </c>
      <c r="L44" s="32">
        <f t="shared" si="11"/>
        <v>447.91666666666669</v>
      </c>
      <c r="M44" s="32">
        <f t="shared" si="11"/>
        <v>447.91666666666669</v>
      </c>
      <c r="N44" s="31">
        <f t="shared" si="12"/>
        <v>5375</v>
      </c>
    </row>
    <row r="45" spans="1:14" x14ac:dyDescent="0.35">
      <c r="A45" s="5" t="s">
        <v>52</v>
      </c>
      <c r="B45" s="32">
        <f>'5yr Budget Projection'!F61/12</f>
        <v>1275</v>
      </c>
      <c r="C45" s="32">
        <f t="shared" si="11"/>
        <v>1275</v>
      </c>
      <c r="D45" s="32">
        <f t="shared" si="11"/>
        <v>1275</v>
      </c>
      <c r="E45" s="32">
        <f t="shared" si="11"/>
        <v>1275</v>
      </c>
      <c r="F45" s="32">
        <f t="shared" si="11"/>
        <v>1275</v>
      </c>
      <c r="G45" s="32">
        <f t="shared" si="11"/>
        <v>1275</v>
      </c>
      <c r="H45" s="32">
        <f t="shared" si="11"/>
        <v>1275</v>
      </c>
      <c r="I45" s="32">
        <f t="shared" si="11"/>
        <v>1275</v>
      </c>
      <c r="J45" s="32">
        <f t="shared" si="11"/>
        <v>1275</v>
      </c>
      <c r="K45" s="32">
        <f t="shared" si="11"/>
        <v>1275</v>
      </c>
      <c r="L45" s="32">
        <f t="shared" si="11"/>
        <v>1275</v>
      </c>
      <c r="M45" s="32">
        <f t="shared" si="11"/>
        <v>1275</v>
      </c>
      <c r="N45" s="31">
        <f t="shared" si="12"/>
        <v>15300</v>
      </c>
    </row>
    <row r="46" spans="1:14" x14ac:dyDescent="0.35">
      <c r="A46" s="5" t="s">
        <v>53</v>
      </c>
      <c r="B46" s="32">
        <f>'5yr Budget Projection'!F62/12</f>
        <v>0</v>
      </c>
      <c r="C46" s="32">
        <f t="shared" si="11"/>
        <v>0</v>
      </c>
      <c r="D46" s="32">
        <f t="shared" si="11"/>
        <v>0</v>
      </c>
      <c r="E46" s="32">
        <f t="shared" si="11"/>
        <v>0</v>
      </c>
      <c r="F46" s="32">
        <f t="shared" si="11"/>
        <v>0</v>
      </c>
      <c r="G46" s="32">
        <f t="shared" si="11"/>
        <v>0</v>
      </c>
      <c r="H46" s="32">
        <f t="shared" si="11"/>
        <v>0</v>
      </c>
      <c r="I46" s="32">
        <f t="shared" si="11"/>
        <v>0</v>
      </c>
      <c r="J46" s="32">
        <f t="shared" si="11"/>
        <v>0</v>
      </c>
      <c r="K46" s="32">
        <f t="shared" si="11"/>
        <v>0</v>
      </c>
      <c r="L46" s="32">
        <f t="shared" si="11"/>
        <v>0</v>
      </c>
      <c r="M46" s="32">
        <f t="shared" si="11"/>
        <v>0</v>
      </c>
      <c r="N46" s="31">
        <f t="shared" si="12"/>
        <v>0</v>
      </c>
    </row>
    <row r="47" spans="1:14" x14ac:dyDescent="0.35">
      <c r="A47" s="5" t="s">
        <v>54</v>
      </c>
      <c r="B47" s="32">
        <f>'5yr Budget Projection'!F63/12</f>
        <v>833.33333333333337</v>
      </c>
      <c r="C47" s="32">
        <f t="shared" si="11"/>
        <v>833.33333333333337</v>
      </c>
      <c r="D47" s="32">
        <f t="shared" si="11"/>
        <v>833.33333333333337</v>
      </c>
      <c r="E47" s="32">
        <f t="shared" si="11"/>
        <v>833.33333333333337</v>
      </c>
      <c r="F47" s="32">
        <f t="shared" si="11"/>
        <v>833.33333333333337</v>
      </c>
      <c r="G47" s="32">
        <f t="shared" si="11"/>
        <v>833.33333333333337</v>
      </c>
      <c r="H47" s="32">
        <f t="shared" si="11"/>
        <v>833.33333333333337</v>
      </c>
      <c r="I47" s="32">
        <f t="shared" si="11"/>
        <v>833.33333333333337</v>
      </c>
      <c r="J47" s="32">
        <f t="shared" si="11"/>
        <v>833.33333333333337</v>
      </c>
      <c r="K47" s="32">
        <f t="shared" si="11"/>
        <v>833.33333333333337</v>
      </c>
      <c r="L47" s="32">
        <f t="shared" si="11"/>
        <v>833.33333333333337</v>
      </c>
      <c r="M47" s="32">
        <f t="shared" si="11"/>
        <v>833.33333333333337</v>
      </c>
      <c r="N47" s="31">
        <f t="shared" si="12"/>
        <v>10000</v>
      </c>
    </row>
    <row r="48" spans="1:14" x14ac:dyDescent="0.35">
      <c r="A48" s="5" t="s">
        <v>55</v>
      </c>
      <c r="B48" s="32">
        <f>'5yr Budget Projection'!F64/12</f>
        <v>42.5</v>
      </c>
      <c r="C48" s="32">
        <f t="shared" si="11"/>
        <v>42.5</v>
      </c>
      <c r="D48" s="32">
        <f t="shared" si="11"/>
        <v>42.5</v>
      </c>
      <c r="E48" s="32">
        <f t="shared" si="11"/>
        <v>42.5</v>
      </c>
      <c r="F48" s="32">
        <f t="shared" si="11"/>
        <v>42.5</v>
      </c>
      <c r="G48" s="32">
        <f t="shared" si="11"/>
        <v>42.5</v>
      </c>
      <c r="H48" s="32">
        <f t="shared" si="11"/>
        <v>42.5</v>
      </c>
      <c r="I48" s="32">
        <f t="shared" si="11"/>
        <v>42.5</v>
      </c>
      <c r="J48" s="32">
        <f t="shared" si="11"/>
        <v>42.5</v>
      </c>
      <c r="K48" s="32">
        <f t="shared" si="11"/>
        <v>42.5</v>
      </c>
      <c r="L48" s="32">
        <f t="shared" si="11"/>
        <v>42.5</v>
      </c>
      <c r="M48" s="32">
        <f t="shared" si="11"/>
        <v>42.5</v>
      </c>
      <c r="N48" s="31">
        <f t="shared" si="12"/>
        <v>510</v>
      </c>
    </row>
    <row r="49" spans="1:14" x14ac:dyDescent="0.35">
      <c r="A49" s="5" t="s">
        <v>56</v>
      </c>
      <c r="B49" s="32">
        <f>'5yr Budget Projection'!F65/12</f>
        <v>42.5</v>
      </c>
      <c r="C49" s="32">
        <f t="shared" si="11"/>
        <v>42.5</v>
      </c>
      <c r="D49" s="32">
        <f t="shared" si="11"/>
        <v>42.5</v>
      </c>
      <c r="E49" s="32">
        <f t="shared" si="11"/>
        <v>42.5</v>
      </c>
      <c r="F49" s="32">
        <f t="shared" si="11"/>
        <v>42.5</v>
      </c>
      <c r="G49" s="32">
        <f t="shared" si="11"/>
        <v>42.5</v>
      </c>
      <c r="H49" s="32">
        <f t="shared" si="11"/>
        <v>42.5</v>
      </c>
      <c r="I49" s="32">
        <f t="shared" si="11"/>
        <v>42.5</v>
      </c>
      <c r="J49" s="32">
        <f t="shared" si="11"/>
        <v>42.5</v>
      </c>
      <c r="K49" s="32">
        <f t="shared" si="11"/>
        <v>42.5</v>
      </c>
      <c r="L49" s="32">
        <f t="shared" si="11"/>
        <v>42.5</v>
      </c>
      <c r="M49" s="32">
        <f t="shared" si="11"/>
        <v>42.5</v>
      </c>
      <c r="N49" s="31">
        <f t="shared" si="12"/>
        <v>510</v>
      </c>
    </row>
    <row r="50" spans="1:14" x14ac:dyDescent="0.35">
      <c r="A50" s="5" t="s">
        <v>57</v>
      </c>
      <c r="B50" s="32">
        <f>'5yr Budget Projection'!F66/12</f>
        <v>208.33333333333334</v>
      </c>
      <c r="C50" s="32">
        <f t="shared" si="11"/>
        <v>208.33333333333334</v>
      </c>
      <c r="D50" s="32">
        <f t="shared" si="11"/>
        <v>208.33333333333334</v>
      </c>
      <c r="E50" s="32">
        <f t="shared" si="11"/>
        <v>208.33333333333334</v>
      </c>
      <c r="F50" s="32">
        <f t="shared" si="11"/>
        <v>208.33333333333334</v>
      </c>
      <c r="G50" s="32">
        <f t="shared" si="11"/>
        <v>208.33333333333334</v>
      </c>
      <c r="H50" s="32">
        <f t="shared" si="11"/>
        <v>208.33333333333334</v>
      </c>
      <c r="I50" s="32">
        <f t="shared" si="11"/>
        <v>208.33333333333334</v>
      </c>
      <c r="J50" s="32">
        <f t="shared" si="11"/>
        <v>208.33333333333334</v>
      </c>
      <c r="K50" s="32">
        <f t="shared" si="11"/>
        <v>208.33333333333334</v>
      </c>
      <c r="L50" s="32">
        <f t="shared" si="11"/>
        <v>208.33333333333334</v>
      </c>
      <c r="M50" s="32">
        <f t="shared" si="11"/>
        <v>208.33333333333334</v>
      </c>
      <c r="N50" s="31">
        <f t="shared" si="12"/>
        <v>2500</v>
      </c>
    </row>
    <row r="51" spans="1:14" x14ac:dyDescent="0.35">
      <c r="A51" s="5" t="s">
        <v>58</v>
      </c>
      <c r="B51" s="32">
        <f>'5yr Budget Projection'!F67/12</f>
        <v>212.5</v>
      </c>
      <c r="C51" s="32">
        <f t="shared" si="11"/>
        <v>212.5</v>
      </c>
      <c r="D51" s="32">
        <f t="shared" si="11"/>
        <v>212.5</v>
      </c>
      <c r="E51" s="32">
        <f t="shared" si="11"/>
        <v>212.5</v>
      </c>
      <c r="F51" s="32">
        <f t="shared" si="11"/>
        <v>212.5</v>
      </c>
      <c r="G51" s="32">
        <f t="shared" si="11"/>
        <v>212.5</v>
      </c>
      <c r="H51" s="32">
        <f t="shared" si="11"/>
        <v>212.5</v>
      </c>
      <c r="I51" s="32">
        <f t="shared" si="11"/>
        <v>212.5</v>
      </c>
      <c r="J51" s="32">
        <f t="shared" si="11"/>
        <v>212.5</v>
      </c>
      <c r="K51" s="32">
        <f t="shared" si="11"/>
        <v>212.5</v>
      </c>
      <c r="L51" s="32">
        <f t="shared" si="11"/>
        <v>212.5</v>
      </c>
      <c r="M51" s="32">
        <f t="shared" si="11"/>
        <v>212.5</v>
      </c>
      <c r="N51" s="31">
        <f t="shared" si="12"/>
        <v>2550</v>
      </c>
    </row>
    <row r="52" spans="1:14" x14ac:dyDescent="0.35">
      <c r="A52" s="5" t="s">
        <v>59</v>
      </c>
      <c r="B52" s="32">
        <f>'5yr Budget Projection'!F68/12</f>
        <v>127.5</v>
      </c>
      <c r="C52" s="32">
        <f t="shared" si="11"/>
        <v>127.5</v>
      </c>
      <c r="D52" s="32">
        <f t="shared" si="11"/>
        <v>127.5</v>
      </c>
      <c r="E52" s="32">
        <f t="shared" si="11"/>
        <v>127.5</v>
      </c>
      <c r="F52" s="32">
        <f t="shared" si="11"/>
        <v>127.5</v>
      </c>
      <c r="G52" s="32">
        <f t="shared" si="11"/>
        <v>127.5</v>
      </c>
      <c r="H52" s="32">
        <f t="shared" si="11"/>
        <v>127.5</v>
      </c>
      <c r="I52" s="32">
        <f t="shared" si="11"/>
        <v>127.5</v>
      </c>
      <c r="J52" s="32">
        <f t="shared" si="11"/>
        <v>127.5</v>
      </c>
      <c r="K52" s="32">
        <f t="shared" si="11"/>
        <v>127.5</v>
      </c>
      <c r="L52" s="32">
        <f t="shared" si="11"/>
        <v>127.5</v>
      </c>
      <c r="M52" s="32">
        <f t="shared" si="11"/>
        <v>127.5</v>
      </c>
      <c r="N52" s="31">
        <f t="shared" si="12"/>
        <v>1530</v>
      </c>
    </row>
    <row r="53" spans="1:14" x14ac:dyDescent="0.35">
      <c r="A53" s="8" t="s">
        <v>129</v>
      </c>
      <c r="B53" s="32">
        <f>'5yr Budget Projection'!F69/12</f>
        <v>0</v>
      </c>
      <c r="C53" s="32">
        <f t="shared" si="11"/>
        <v>0</v>
      </c>
      <c r="D53" s="32">
        <f t="shared" si="11"/>
        <v>0</v>
      </c>
      <c r="E53" s="32">
        <f t="shared" si="11"/>
        <v>0</v>
      </c>
      <c r="F53" s="32">
        <f t="shared" si="11"/>
        <v>0</v>
      </c>
      <c r="G53" s="32">
        <f t="shared" si="11"/>
        <v>0</v>
      </c>
      <c r="H53" s="32">
        <f t="shared" si="11"/>
        <v>0</v>
      </c>
      <c r="I53" s="32">
        <f t="shared" si="11"/>
        <v>0</v>
      </c>
      <c r="J53" s="32">
        <f t="shared" si="11"/>
        <v>0</v>
      </c>
      <c r="K53" s="32">
        <f t="shared" si="11"/>
        <v>0</v>
      </c>
      <c r="L53" s="32">
        <f t="shared" si="11"/>
        <v>0</v>
      </c>
      <c r="M53" s="32">
        <f t="shared" si="11"/>
        <v>0</v>
      </c>
      <c r="N53" s="31">
        <f t="shared" si="12"/>
        <v>0</v>
      </c>
    </row>
    <row r="54" spans="1:14" x14ac:dyDescent="0.35">
      <c r="A54" s="8" t="s">
        <v>130</v>
      </c>
      <c r="B54" s="32">
        <f>'5yr Budget Projection'!F70/12</f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1">
        <f t="shared" si="12"/>
        <v>0</v>
      </c>
    </row>
    <row r="55" spans="1:14" x14ac:dyDescent="0.3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>SUM(B55:M55)</f>
        <v>0</v>
      </c>
    </row>
    <row r="56" spans="1:14" x14ac:dyDescent="0.35">
      <c r="A56" s="8"/>
      <c r="B56" s="32">
        <f>'5yr Budget Projection'!F72/12</f>
        <v>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>SUM(B56:M56)</f>
        <v>0</v>
      </c>
    </row>
    <row r="57" spans="1:14" x14ac:dyDescent="0.35">
      <c r="A57" s="7" t="s">
        <v>60</v>
      </c>
      <c r="B57" s="39">
        <f>SUM(B42:B56)</f>
        <v>4428.125</v>
      </c>
      <c r="C57" s="39">
        <f t="shared" ref="C57:M57" si="13">SUM(C42:C56)</f>
        <v>4428.125</v>
      </c>
      <c r="D57" s="39">
        <f t="shared" si="13"/>
        <v>4428.125</v>
      </c>
      <c r="E57" s="39">
        <f t="shared" si="13"/>
        <v>4428.125</v>
      </c>
      <c r="F57" s="39">
        <f t="shared" si="13"/>
        <v>4428.125</v>
      </c>
      <c r="G57" s="39">
        <f t="shared" si="13"/>
        <v>4428.125</v>
      </c>
      <c r="H57" s="39">
        <f t="shared" si="13"/>
        <v>4428.125</v>
      </c>
      <c r="I57" s="39">
        <f t="shared" si="13"/>
        <v>4428.125</v>
      </c>
      <c r="J57" s="39">
        <f t="shared" si="13"/>
        <v>4428.125</v>
      </c>
      <c r="K57" s="39">
        <f t="shared" si="13"/>
        <v>4428.125</v>
      </c>
      <c r="L57" s="39">
        <f t="shared" si="13"/>
        <v>4428.125</v>
      </c>
      <c r="M57" s="39">
        <f t="shared" si="13"/>
        <v>4428.125</v>
      </c>
      <c r="N57" s="39">
        <f>SUM(N42:N56)</f>
        <v>53137.5</v>
      </c>
    </row>
    <row r="58" spans="1:14" x14ac:dyDescent="0.35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 x14ac:dyDescent="0.35">
      <c r="A59" s="54" t="s">
        <v>61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 x14ac:dyDescent="0.35">
      <c r="A60" s="52" t="s">
        <v>62</v>
      </c>
      <c r="B60" s="53">
        <f>'5yr Budget Projection'!F74/12</f>
        <v>0</v>
      </c>
      <c r="C60" s="53">
        <f>B60</f>
        <v>0</v>
      </c>
      <c r="D60" s="53">
        <f t="shared" ref="D60:M60" si="14">C60</f>
        <v>0</v>
      </c>
      <c r="E60" s="53">
        <f t="shared" si="14"/>
        <v>0</v>
      </c>
      <c r="F60" s="53">
        <f t="shared" si="14"/>
        <v>0</v>
      </c>
      <c r="G60" s="53">
        <f t="shared" si="14"/>
        <v>0</v>
      </c>
      <c r="H60" s="53">
        <f t="shared" si="14"/>
        <v>0</v>
      </c>
      <c r="I60" s="53">
        <f t="shared" si="14"/>
        <v>0</v>
      </c>
      <c r="J60" s="53">
        <f t="shared" si="14"/>
        <v>0</v>
      </c>
      <c r="K60" s="53">
        <f t="shared" si="14"/>
        <v>0</v>
      </c>
      <c r="L60" s="53">
        <f t="shared" si="14"/>
        <v>0</v>
      </c>
      <c r="M60" s="53">
        <f t="shared" si="14"/>
        <v>0</v>
      </c>
      <c r="N60" s="42">
        <f>SUM(B60:M60)</f>
        <v>0</v>
      </c>
    </row>
    <row r="61" spans="1:14" x14ac:dyDescent="0.35">
      <c r="A61" s="5" t="s">
        <v>63</v>
      </c>
      <c r="B61" s="32">
        <f>'5yr Budget Projection'!F75/12</f>
        <v>0</v>
      </c>
      <c r="C61" s="32">
        <f t="shared" ref="C61:M87" si="15">B61</f>
        <v>0</v>
      </c>
      <c r="D61" s="32">
        <f t="shared" si="15"/>
        <v>0</v>
      </c>
      <c r="E61" s="32">
        <f t="shared" si="15"/>
        <v>0</v>
      </c>
      <c r="F61" s="32">
        <f t="shared" si="15"/>
        <v>0</v>
      </c>
      <c r="G61" s="32">
        <f t="shared" si="15"/>
        <v>0</v>
      </c>
      <c r="H61" s="32">
        <f t="shared" si="15"/>
        <v>0</v>
      </c>
      <c r="I61" s="32">
        <f t="shared" si="15"/>
        <v>0</v>
      </c>
      <c r="J61" s="32">
        <f t="shared" si="15"/>
        <v>0</v>
      </c>
      <c r="K61" s="32">
        <f t="shared" si="15"/>
        <v>0</v>
      </c>
      <c r="L61" s="32">
        <f t="shared" si="15"/>
        <v>0</v>
      </c>
      <c r="M61" s="32">
        <f t="shared" si="15"/>
        <v>0</v>
      </c>
      <c r="N61" s="31">
        <f t="shared" ref="N61:N88" si="16">SUM(B61:M61)</f>
        <v>0</v>
      </c>
    </row>
    <row r="62" spans="1:14" x14ac:dyDescent="0.35">
      <c r="A62" s="5" t="s">
        <v>64</v>
      </c>
      <c r="B62" s="32">
        <f>'5yr Budget Projection'!F76/12</f>
        <v>42.5</v>
      </c>
      <c r="C62" s="32">
        <f t="shared" si="15"/>
        <v>42.5</v>
      </c>
      <c r="D62" s="32">
        <f t="shared" si="15"/>
        <v>42.5</v>
      </c>
      <c r="E62" s="32">
        <f t="shared" si="15"/>
        <v>42.5</v>
      </c>
      <c r="F62" s="32">
        <f t="shared" si="15"/>
        <v>42.5</v>
      </c>
      <c r="G62" s="32">
        <f t="shared" si="15"/>
        <v>42.5</v>
      </c>
      <c r="H62" s="32">
        <f t="shared" si="15"/>
        <v>42.5</v>
      </c>
      <c r="I62" s="32">
        <f t="shared" si="15"/>
        <v>42.5</v>
      </c>
      <c r="J62" s="32">
        <f t="shared" si="15"/>
        <v>42.5</v>
      </c>
      <c r="K62" s="32">
        <f t="shared" si="15"/>
        <v>42.5</v>
      </c>
      <c r="L62" s="32">
        <f t="shared" si="15"/>
        <v>42.5</v>
      </c>
      <c r="M62" s="32">
        <f t="shared" si="15"/>
        <v>42.5</v>
      </c>
      <c r="N62" s="31">
        <f t="shared" si="16"/>
        <v>510</v>
      </c>
    </row>
    <row r="63" spans="1:14" x14ac:dyDescent="0.35">
      <c r="A63" s="5" t="s">
        <v>65</v>
      </c>
      <c r="B63" s="32">
        <f>'5yr Budget Projection'!F77/12</f>
        <v>41.666666666666664</v>
      </c>
      <c r="C63" s="32">
        <f t="shared" si="15"/>
        <v>41.666666666666664</v>
      </c>
      <c r="D63" s="32">
        <f t="shared" si="15"/>
        <v>41.666666666666664</v>
      </c>
      <c r="E63" s="32">
        <f t="shared" si="15"/>
        <v>41.666666666666664</v>
      </c>
      <c r="F63" s="32">
        <f t="shared" si="15"/>
        <v>41.666666666666664</v>
      </c>
      <c r="G63" s="32">
        <f t="shared" si="15"/>
        <v>41.666666666666664</v>
      </c>
      <c r="H63" s="32">
        <f t="shared" si="15"/>
        <v>41.666666666666664</v>
      </c>
      <c r="I63" s="32">
        <f t="shared" si="15"/>
        <v>41.666666666666664</v>
      </c>
      <c r="J63" s="32">
        <f t="shared" si="15"/>
        <v>41.666666666666664</v>
      </c>
      <c r="K63" s="32">
        <f t="shared" si="15"/>
        <v>41.666666666666664</v>
      </c>
      <c r="L63" s="32">
        <f t="shared" si="15"/>
        <v>41.666666666666664</v>
      </c>
      <c r="M63" s="32">
        <f t="shared" si="15"/>
        <v>41.666666666666664</v>
      </c>
      <c r="N63" s="31">
        <f t="shared" si="16"/>
        <v>500.00000000000006</v>
      </c>
    </row>
    <row r="64" spans="1:14" x14ac:dyDescent="0.35">
      <c r="A64" s="5" t="s">
        <v>66</v>
      </c>
      <c r="B64" s="32">
        <f>'5yr Budget Projection'!F78/12</f>
        <v>500</v>
      </c>
      <c r="C64" s="32">
        <f t="shared" si="15"/>
        <v>500</v>
      </c>
      <c r="D64" s="32">
        <f t="shared" si="15"/>
        <v>500</v>
      </c>
      <c r="E64" s="32">
        <f t="shared" si="15"/>
        <v>500</v>
      </c>
      <c r="F64" s="32">
        <f t="shared" si="15"/>
        <v>500</v>
      </c>
      <c r="G64" s="32">
        <f t="shared" si="15"/>
        <v>500</v>
      </c>
      <c r="H64" s="32">
        <f t="shared" si="15"/>
        <v>500</v>
      </c>
      <c r="I64" s="32">
        <f t="shared" si="15"/>
        <v>500</v>
      </c>
      <c r="J64" s="32">
        <f t="shared" si="15"/>
        <v>500</v>
      </c>
      <c r="K64" s="32">
        <f t="shared" si="15"/>
        <v>500</v>
      </c>
      <c r="L64" s="32">
        <f t="shared" si="15"/>
        <v>500</v>
      </c>
      <c r="M64" s="32">
        <f t="shared" si="15"/>
        <v>500</v>
      </c>
      <c r="N64" s="31">
        <f t="shared" si="16"/>
        <v>6000</v>
      </c>
    </row>
    <row r="65" spans="1:14" x14ac:dyDescent="0.35">
      <c r="A65" s="5" t="s">
        <v>67</v>
      </c>
      <c r="B65" s="32">
        <f>'5yr Budget Projection'!F79/12</f>
        <v>0</v>
      </c>
      <c r="C65" s="32">
        <f t="shared" si="15"/>
        <v>0</v>
      </c>
      <c r="D65" s="32">
        <f t="shared" si="15"/>
        <v>0</v>
      </c>
      <c r="E65" s="32">
        <f t="shared" si="15"/>
        <v>0</v>
      </c>
      <c r="F65" s="32">
        <f t="shared" si="15"/>
        <v>0</v>
      </c>
      <c r="G65" s="32">
        <f t="shared" si="15"/>
        <v>0</v>
      </c>
      <c r="H65" s="32">
        <f t="shared" si="15"/>
        <v>0</v>
      </c>
      <c r="I65" s="32">
        <f t="shared" si="15"/>
        <v>0</v>
      </c>
      <c r="J65" s="32">
        <f t="shared" si="15"/>
        <v>0</v>
      </c>
      <c r="K65" s="32">
        <f t="shared" si="15"/>
        <v>0</v>
      </c>
      <c r="L65" s="32">
        <f t="shared" si="15"/>
        <v>0</v>
      </c>
      <c r="M65" s="32">
        <f t="shared" si="15"/>
        <v>0</v>
      </c>
      <c r="N65" s="31">
        <f t="shared" si="16"/>
        <v>0</v>
      </c>
    </row>
    <row r="66" spans="1:14" x14ac:dyDescent="0.35">
      <c r="A66" s="5" t="s">
        <v>68</v>
      </c>
      <c r="B66" s="32">
        <f>'5yr Budget Projection'!F80/12</f>
        <v>42.5</v>
      </c>
      <c r="C66" s="32">
        <f t="shared" si="15"/>
        <v>42.5</v>
      </c>
      <c r="D66" s="32">
        <f t="shared" si="15"/>
        <v>42.5</v>
      </c>
      <c r="E66" s="32">
        <f t="shared" si="15"/>
        <v>42.5</v>
      </c>
      <c r="F66" s="32">
        <f t="shared" si="15"/>
        <v>42.5</v>
      </c>
      <c r="G66" s="32">
        <f t="shared" si="15"/>
        <v>42.5</v>
      </c>
      <c r="H66" s="32">
        <f t="shared" si="15"/>
        <v>42.5</v>
      </c>
      <c r="I66" s="32">
        <f t="shared" si="15"/>
        <v>42.5</v>
      </c>
      <c r="J66" s="32">
        <f t="shared" si="15"/>
        <v>42.5</v>
      </c>
      <c r="K66" s="32">
        <f t="shared" si="15"/>
        <v>42.5</v>
      </c>
      <c r="L66" s="32">
        <f t="shared" si="15"/>
        <v>42.5</v>
      </c>
      <c r="M66" s="32">
        <f t="shared" si="15"/>
        <v>42.5</v>
      </c>
      <c r="N66" s="31">
        <f t="shared" si="16"/>
        <v>510</v>
      </c>
    </row>
    <row r="67" spans="1:14" x14ac:dyDescent="0.35">
      <c r="A67" s="5" t="s">
        <v>69</v>
      </c>
      <c r="B67" s="32">
        <f>'5yr Budget Projection'!F81/12</f>
        <v>3825</v>
      </c>
      <c r="C67" s="32">
        <f t="shared" si="15"/>
        <v>3825</v>
      </c>
      <c r="D67" s="32">
        <f t="shared" si="15"/>
        <v>3825</v>
      </c>
      <c r="E67" s="32">
        <f t="shared" si="15"/>
        <v>3825</v>
      </c>
      <c r="F67" s="32">
        <f t="shared" si="15"/>
        <v>3825</v>
      </c>
      <c r="G67" s="32">
        <f t="shared" si="15"/>
        <v>3825</v>
      </c>
      <c r="H67" s="32">
        <f t="shared" si="15"/>
        <v>3825</v>
      </c>
      <c r="I67" s="32">
        <f t="shared" si="15"/>
        <v>3825</v>
      </c>
      <c r="J67" s="32">
        <f t="shared" si="15"/>
        <v>3825</v>
      </c>
      <c r="K67" s="32">
        <f t="shared" si="15"/>
        <v>3825</v>
      </c>
      <c r="L67" s="32">
        <f t="shared" si="15"/>
        <v>3825</v>
      </c>
      <c r="M67" s="32">
        <f t="shared" si="15"/>
        <v>3825</v>
      </c>
      <c r="N67" s="31">
        <f t="shared" si="16"/>
        <v>45900</v>
      </c>
    </row>
    <row r="68" spans="1:14" x14ac:dyDescent="0.35">
      <c r="A68" s="5" t="s">
        <v>70</v>
      </c>
      <c r="B68" s="32">
        <f>'5yr Budget Projection'!F82/12</f>
        <v>750</v>
      </c>
      <c r="C68" s="32">
        <f t="shared" si="15"/>
        <v>750</v>
      </c>
      <c r="D68" s="32">
        <f t="shared" si="15"/>
        <v>750</v>
      </c>
      <c r="E68" s="32">
        <f t="shared" si="15"/>
        <v>750</v>
      </c>
      <c r="F68" s="32">
        <f t="shared" si="15"/>
        <v>750</v>
      </c>
      <c r="G68" s="32">
        <f t="shared" si="15"/>
        <v>750</v>
      </c>
      <c r="H68" s="32">
        <f t="shared" si="15"/>
        <v>750</v>
      </c>
      <c r="I68" s="32">
        <f t="shared" si="15"/>
        <v>750</v>
      </c>
      <c r="J68" s="32">
        <f t="shared" si="15"/>
        <v>750</v>
      </c>
      <c r="K68" s="32">
        <f t="shared" si="15"/>
        <v>750</v>
      </c>
      <c r="L68" s="32">
        <f t="shared" si="15"/>
        <v>750</v>
      </c>
      <c r="M68" s="32">
        <f t="shared" si="15"/>
        <v>750</v>
      </c>
      <c r="N68" s="31">
        <f t="shared" si="16"/>
        <v>9000</v>
      </c>
    </row>
    <row r="69" spans="1:14" x14ac:dyDescent="0.35">
      <c r="A69" s="5" t="s">
        <v>71</v>
      </c>
      <c r="B69" s="32">
        <f>'5yr Budget Projection'!F83/12</f>
        <v>19.833333333333332</v>
      </c>
      <c r="C69" s="32">
        <f t="shared" si="15"/>
        <v>19.833333333333332</v>
      </c>
      <c r="D69" s="32">
        <f t="shared" si="15"/>
        <v>19.833333333333332</v>
      </c>
      <c r="E69" s="32">
        <f t="shared" si="15"/>
        <v>19.833333333333332</v>
      </c>
      <c r="F69" s="32">
        <f t="shared" si="15"/>
        <v>19.833333333333332</v>
      </c>
      <c r="G69" s="32">
        <f t="shared" si="15"/>
        <v>19.833333333333332</v>
      </c>
      <c r="H69" s="32">
        <f t="shared" si="15"/>
        <v>19.833333333333332</v>
      </c>
      <c r="I69" s="32">
        <f t="shared" si="15"/>
        <v>19.833333333333332</v>
      </c>
      <c r="J69" s="32">
        <f t="shared" si="15"/>
        <v>19.833333333333332</v>
      </c>
      <c r="K69" s="32">
        <f t="shared" si="15"/>
        <v>19.833333333333332</v>
      </c>
      <c r="L69" s="32">
        <f t="shared" si="15"/>
        <v>19.833333333333332</v>
      </c>
      <c r="M69" s="32">
        <f t="shared" si="15"/>
        <v>19.833333333333332</v>
      </c>
      <c r="N69" s="31">
        <f t="shared" si="16"/>
        <v>238.00000000000003</v>
      </c>
    </row>
    <row r="70" spans="1:14" x14ac:dyDescent="0.35">
      <c r="A70" s="5" t="s">
        <v>72</v>
      </c>
      <c r="B70" s="32">
        <f>'5yr Budget Projection'!F84/12</f>
        <v>15.299999999999999</v>
      </c>
      <c r="C70" s="32">
        <f t="shared" si="15"/>
        <v>15.299999999999999</v>
      </c>
      <c r="D70" s="32">
        <f t="shared" si="15"/>
        <v>15.299999999999999</v>
      </c>
      <c r="E70" s="32">
        <f t="shared" si="15"/>
        <v>15.299999999999999</v>
      </c>
      <c r="F70" s="32">
        <f t="shared" si="15"/>
        <v>15.299999999999999</v>
      </c>
      <c r="G70" s="32">
        <f t="shared" si="15"/>
        <v>15.299999999999999</v>
      </c>
      <c r="H70" s="32">
        <f t="shared" si="15"/>
        <v>15.299999999999999</v>
      </c>
      <c r="I70" s="32">
        <f t="shared" si="15"/>
        <v>15.299999999999999</v>
      </c>
      <c r="J70" s="32">
        <f t="shared" si="15"/>
        <v>15.299999999999999</v>
      </c>
      <c r="K70" s="32">
        <f t="shared" si="15"/>
        <v>15.299999999999999</v>
      </c>
      <c r="L70" s="32">
        <f t="shared" si="15"/>
        <v>15.299999999999999</v>
      </c>
      <c r="M70" s="32">
        <f t="shared" si="15"/>
        <v>15.299999999999999</v>
      </c>
      <c r="N70" s="31">
        <f t="shared" si="16"/>
        <v>183.60000000000002</v>
      </c>
    </row>
    <row r="71" spans="1:14" x14ac:dyDescent="0.35">
      <c r="A71" s="5" t="s">
        <v>73</v>
      </c>
      <c r="B71" s="32">
        <f>'5yr Budget Projection'!F85/12</f>
        <v>166.66666666666666</v>
      </c>
      <c r="C71" s="32">
        <f t="shared" si="15"/>
        <v>166.66666666666666</v>
      </c>
      <c r="D71" s="32">
        <f t="shared" si="15"/>
        <v>166.66666666666666</v>
      </c>
      <c r="E71" s="32">
        <f t="shared" si="15"/>
        <v>166.66666666666666</v>
      </c>
      <c r="F71" s="32">
        <f t="shared" si="15"/>
        <v>166.66666666666666</v>
      </c>
      <c r="G71" s="32">
        <f t="shared" si="15"/>
        <v>166.66666666666666</v>
      </c>
      <c r="H71" s="32">
        <f t="shared" si="15"/>
        <v>166.66666666666666</v>
      </c>
      <c r="I71" s="32">
        <f t="shared" si="15"/>
        <v>166.66666666666666</v>
      </c>
      <c r="J71" s="32">
        <f t="shared" si="15"/>
        <v>166.66666666666666</v>
      </c>
      <c r="K71" s="32">
        <f t="shared" si="15"/>
        <v>166.66666666666666</v>
      </c>
      <c r="L71" s="32">
        <f t="shared" si="15"/>
        <v>166.66666666666666</v>
      </c>
      <c r="M71" s="32">
        <f t="shared" si="15"/>
        <v>166.66666666666666</v>
      </c>
      <c r="N71" s="31">
        <f t="shared" si="16"/>
        <v>2000.0000000000002</v>
      </c>
    </row>
    <row r="72" spans="1:14" x14ac:dyDescent="0.35">
      <c r="A72" s="5" t="s">
        <v>74</v>
      </c>
      <c r="B72" s="32">
        <f>'5yr Budget Projection'!F86/12</f>
        <v>850</v>
      </c>
      <c r="C72" s="32">
        <f t="shared" si="15"/>
        <v>850</v>
      </c>
      <c r="D72" s="32">
        <f t="shared" si="15"/>
        <v>850</v>
      </c>
      <c r="E72" s="32">
        <f t="shared" si="15"/>
        <v>850</v>
      </c>
      <c r="F72" s="32">
        <f t="shared" si="15"/>
        <v>850</v>
      </c>
      <c r="G72" s="32">
        <f t="shared" si="15"/>
        <v>850</v>
      </c>
      <c r="H72" s="32">
        <f t="shared" si="15"/>
        <v>850</v>
      </c>
      <c r="I72" s="32">
        <f t="shared" si="15"/>
        <v>850</v>
      </c>
      <c r="J72" s="32">
        <f t="shared" si="15"/>
        <v>850</v>
      </c>
      <c r="K72" s="32">
        <f t="shared" si="15"/>
        <v>850</v>
      </c>
      <c r="L72" s="32">
        <f t="shared" si="15"/>
        <v>850</v>
      </c>
      <c r="M72" s="32">
        <f t="shared" si="15"/>
        <v>850</v>
      </c>
      <c r="N72" s="31">
        <f t="shared" si="16"/>
        <v>10200</v>
      </c>
    </row>
    <row r="73" spans="1:14" x14ac:dyDescent="0.35">
      <c r="A73" s="5" t="s">
        <v>75</v>
      </c>
      <c r="B73" s="32">
        <f>'5yr Budget Projection'!F87/12</f>
        <v>5666.666666666667</v>
      </c>
      <c r="C73" s="32">
        <f t="shared" si="15"/>
        <v>5666.666666666667</v>
      </c>
      <c r="D73" s="32">
        <f t="shared" si="15"/>
        <v>5666.666666666667</v>
      </c>
      <c r="E73" s="32">
        <f t="shared" si="15"/>
        <v>5666.666666666667</v>
      </c>
      <c r="F73" s="32">
        <f t="shared" si="15"/>
        <v>5666.666666666667</v>
      </c>
      <c r="G73" s="32">
        <f t="shared" si="15"/>
        <v>5666.666666666667</v>
      </c>
      <c r="H73" s="32">
        <f t="shared" si="15"/>
        <v>5666.666666666667</v>
      </c>
      <c r="I73" s="32">
        <f t="shared" si="15"/>
        <v>5666.666666666667</v>
      </c>
      <c r="J73" s="32">
        <f t="shared" si="15"/>
        <v>5666.666666666667</v>
      </c>
      <c r="K73" s="32">
        <f t="shared" si="15"/>
        <v>5666.666666666667</v>
      </c>
      <c r="L73" s="32">
        <f t="shared" si="15"/>
        <v>5666.666666666667</v>
      </c>
      <c r="M73" s="32">
        <f t="shared" si="15"/>
        <v>5666.666666666667</v>
      </c>
      <c r="N73" s="31">
        <f t="shared" si="16"/>
        <v>67999.999999999985</v>
      </c>
    </row>
    <row r="74" spans="1:14" x14ac:dyDescent="0.35">
      <c r="A74" s="5" t="s">
        <v>76</v>
      </c>
      <c r="B74" s="32">
        <f>'5yr Budget Projection'!F88/12</f>
        <v>0</v>
      </c>
      <c r="C74" s="32">
        <f t="shared" si="15"/>
        <v>0</v>
      </c>
      <c r="D74" s="32">
        <f t="shared" si="15"/>
        <v>0</v>
      </c>
      <c r="E74" s="32">
        <f t="shared" si="15"/>
        <v>0</v>
      </c>
      <c r="F74" s="32">
        <f t="shared" si="15"/>
        <v>0</v>
      </c>
      <c r="G74" s="32">
        <f t="shared" si="15"/>
        <v>0</v>
      </c>
      <c r="H74" s="32">
        <f t="shared" si="15"/>
        <v>0</v>
      </c>
      <c r="I74" s="32">
        <f t="shared" si="15"/>
        <v>0</v>
      </c>
      <c r="J74" s="32">
        <f t="shared" si="15"/>
        <v>0</v>
      </c>
      <c r="K74" s="32">
        <f t="shared" si="15"/>
        <v>0</v>
      </c>
      <c r="L74" s="32">
        <f t="shared" si="15"/>
        <v>0</v>
      </c>
      <c r="M74" s="32">
        <f t="shared" si="15"/>
        <v>0</v>
      </c>
      <c r="N74" s="31">
        <f t="shared" si="16"/>
        <v>0</v>
      </c>
    </row>
    <row r="75" spans="1:14" x14ac:dyDescent="0.35">
      <c r="A75" s="5" t="s">
        <v>77</v>
      </c>
      <c r="B75" s="32">
        <f>'5yr Budget Projection'!F89/12</f>
        <v>255</v>
      </c>
      <c r="C75" s="32">
        <f t="shared" si="15"/>
        <v>255</v>
      </c>
      <c r="D75" s="32">
        <f t="shared" si="15"/>
        <v>255</v>
      </c>
      <c r="E75" s="32">
        <f t="shared" si="15"/>
        <v>255</v>
      </c>
      <c r="F75" s="32">
        <f t="shared" si="15"/>
        <v>255</v>
      </c>
      <c r="G75" s="32">
        <f t="shared" si="15"/>
        <v>255</v>
      </c>
      <c r="H75" s="32">
        <f t="shared" si="15"/>
        <v>255</v>
      </c>
      <c r="I75" s="32">
        <f t="shared" si="15"/>
        <v>255</v>
      </c>
      <c r="J75" s="32">
        <f t="shared" si="15"/>
        <v>255</v>
      </c>
      <c r="K75" s="32">
        <f t="shared" si="15"/>
        <v>255</v>
      </c>
      <c r="L75" s="32">
        <f t="shared" si="15"/>
        <v>255</v>
      </c>
      <c r="M75" s="32">
        <f t="shared" si="15"/>
        <v>255</v>
      </c>
      <c r="N75" s="31">
        <f t="shared" si="16"/>
        <v>3060</v>
      </c>
    </row>
    <row r="76" spans="1:14" x14ac:dyDescent="0.35">
      <c r="A76" s="5" t="s">
        <v>78</v>
      </c>
      <c r="B76" s="32">
        <f>'5yr Budget Projection'!F90/12</f>
        <v>41.666666666666664</v>
      </c>
      <c r="C76" s="32">
        <f t="shared" si="15"/>
        <v>41.666666666666664</v>
      </c>
      <c r="D76" s="32">
        <f t="shared" si="15"/>
        <v>41.666666666666664</v>
      </c>
      <c r="E76" s="32">
        <f t="shared" si="15"/>
        <v>41.666666666666664</v>
      </c>
      <c r="F76" s="32">
        <f t="shared" si="15"/>
        <v>41.666666666666664</v>
      </c>
      <c r="G76" s="32">
        <f t="shared" si="15"/>
        <v>41.666666666666664</v>
      </c>
      <c r="H76" s="32">
        <f t="shared" si="15"/>
        <v>41.666666666666664</v>
      </c>
      <c r="I76" s="32">
        <f t="shared" si="15"/>
        <v>41.666666666666664</v>
      </c>
      <c r="J76" s="32">
        <f t="shared" si="15"/>
        <v>41.666666666666664</v>
      </c>
      <c r="K76" s="32">
        <f t="shared" si="15"/>
        <v>41.666666666666664</v>
      </c>
      <c r="L76" s="32">
        <f t="shared" si="15"/>
        <v>41.666666666666664</v>
      </c>
      <c r="M76" s="32">
        <f t="shared" si="15"/>
        <v>41.666666666666664</v>
      </c>
      <c r="N76" s="31">
        <f t="shared" si="16"/>
        <v>500.00000000000006</v>
      </c>
    </row>
    <row r="77" spans="1:14" x14ac:dyDescent="0.35">
      <c r="A77" s="5" t="s">
        <v>79</v>
      </c>
      <c r="B77" s="32">
        <f>'5yr Budget Projection'!F91/12</f>
        <v>42.5</v>
      </c>
      <c r="C77" s="32">
        <f t="shared" si="15"/>
        <v>42.5</v>
      </c>
      <c r="D77" s="32">
        <f t="shared" si="15"/>
        <v>42.5</v>
      </c>
      <c r="E77" s="32">
        <f t="shared" si="15"/>
        <v>42.5</v>
      </c>
      <c r="F77" s="32">
        <f t="shared" si="15"/>
        <v>42.5</v>
      </c>
      <c r="G77" s="32">
        <f t="shared" si="15"/>
        <v>42.5</v>
      </c>
      <c r="H77" s="32">
        <f t="shared" si="15"/>
        <v>42.5</v>
      </c>
      <c r="I77" s="32">
        <f t="shared" si="15"/>
        <v>42.5</v>
      </c>
      <c r="J77" s="32">
        <f t="shared" si="15"/>
        <v>42.5</v>
      </c>
      <c r="K77" s="32">
        <f t="shared" si="15"/>
        <v>42.5</v>
      </c>
      <c r="L77" s="32">
        <f t="shared" si="15"/>
        <v>42.5</v>
      </c>
      <c r="M77" s="32">
        <f t="shared" si="15"/>
        <v>42.5</v>
      </c>
      <c r="N77" s="31">
        <f t="shared" si="16"/>
        <v>510</v>
      </c>
    </row>
    <row r="78" spans="1:14" x14ac:dyDescent="0.35">
      <c r="A78" s="5" t="s">
        <v>80</v>
      </c>
      <c r="B78" s="32">
        <f>'5yr Budget Projection'!F92/12</f>
        <v>0</v>
      </c>
      <c r="C78" s="32">
        <f t="shared" si="15"/>
        <v>0</v>
      </c>
      <c r="D78" s="32">
        <f t="shared" si="15"/>
        <v>0</v>
      </c>
      <c r="E78" s="32">
        <f t="shared" si="15"/>
        <v>0</v>
      </c>
      <c r="F78" s="32">
        <f t="shared" si="15"/>
        <v>0</v>
      </c>
      <c r="G78" s="32">
        <f t="shared" si="15"/>
        <v>0</v>
      </c>
      <c r="H78" s="32">
        <f t="shared" si="15"/>
        <v>0</v>
      </c>
      <c r="I78" s="32">
        <f t="shared" si="15"/>
        <v>0</v>
      </c>
      <c r="J78" s="32">
        <f t="shared" si="15"/>
        <v>0</v>
      </c>
      <c r="K78" s="32">
        <f t="shared" si="15"/>
        <v>0</v>
      </c>
      <c r="L78" s="32">
        <f t="shared" si="15"/>
        <v>0</v>
      </c>
      <c r="M78" s="32">
        <f t="shared" si="15"/>
        <v>0</v>
      </c>
      <c r="N78" s="31">
        <f t="shared" si="16"/>
        <v>0</v>
      </c>
    </row>
    <row r="79" spans="1:14" x14ac:dyDescent="0.35">
      <c r="A79" s="5" t="s">
        <v>81</v>
      </c>
      <c r="B79" s="32">
        <f>'5yr Budget Projection'!F93/12</f>
        <v>408</v>
      </c>
      <c r="C79" s="32">
        <f t="shared" si="15"/>
        <v>408</v>
      </c>
      <c r="D79" s="32">
        <f t="shared" si="15"/>
        <v>408</v>
      </c>
      <c r="E79" s="32">
        <f t="shared" si="15"/>
        <v>408</v>
      </c>
      <c r="F79" s="32">
        <f t="shared" si="15"/>
        <v>408</v>
      </c>
      <c r="G79" s="32">
        <f t="shared" si="15"/>
        <v>408</v>
      </c>
      <c r="H79" s="32">
        <f t="shared" si="15"/>
        <v>408</v>
      </c>
      <c r="I79" s="32">
        <f t="shared" si="15"/>
        <v>408</v>
      </c>
      <c r="J79" s="32">
        <f t="shared" si="15"/>
        <v>408</v>
      </c>
      <c r="K79" s="32">
        <f t="shared" si="15"/>
        <v>408</v>
      </c>
      <c r="L79" s="32">
        <f t="shared" si="15"/>
        <v>408</v>
      </c>
      <c r="M79" s="32">
        <f t="shared" si="15"/>
        <v>408</v>
      </c>
      <c r="N79" s="31">
        <f t="shared" si="16"/>
        <v>4896</v>
      </c>
    </row>
    <row r="80" spans="1:14" x14ac:dyDescent="0.35">
      <c r="A80" s="5" t="s">
        <v>42</v>
      </c>
      <c r="B80" s="32">
        <f>'5yr Budget Projection'!F94/12</f>
        <v>4580.583333333333</v>
      </c>
      <c r="C80" s="32">
        <f t="shared" si="15"/>
        <v>4580.583333333333</v>
      </c>
      <c r="D80" s="32">
        <f t="shared" si="15"/>
        <v>4580.583333333333</v>
      </c>
      <c r="E80" s="32">
        <f t="shared" si="15"/>
        <v>4580.583333333333</v>
      </c>
      <c r="F80" s="32">
        <f t="shared" si="15"/>
        <v>4580.583333333333</v>
      </c>
      <c r="G80" s="32">
        <f t="shared" si="15"/>
        <v>4580.583333333333</v>
      </c>
      <c r="H80" s="32">
        <f t="shared" si="15"/>
        <v>4580.583333333333</v>
      </c>
      <c r="I80" s="32">
        <f t="shared" si="15"/>
        <v>4580.583333333333</v>
      </c>
      <c r="J80" s="32">
        <f t="shared" si="15"/>
        <v>4580.583333333333</v>
      </c>
      <c r="K80" s="32">
        <f t="shared" si="15"/>
        <v>4580.583333333333</v>
      </c>
      <c r="L80" s="32">
        <f t="shared" si="15"/>
        <v>4580.583333333333</v>
      </c>
      <c r="M80" s="32">
        <f t="shared" si="15"/>
        <v>4580.583333333333</v>
      </c>
      <c r="N80" s="31">
        <f t="shared" si="16"/>
        <v>54967.000000000007</v>
      </c>
    </row>
    <row r="81" spans="1:14" x14ac:dyDescent="0.35">
      <c r="A81" s="5" t="s">
        <v>82</v>
      </c>
      <c r="B81" s="32">
        <f>'5yr Budget Projection'!F95/12</f>
        <v>0</v>
      </c>
      <c r="C81" s="32">
        <f t="shared" si="15"/>
        <v>0</v>
      </c>
      <c r="D81" s="32">
        <f t="shared" si="15"/>
        <v>0</v>
      </c>
      <c r="E81" s="32">
        <f t="shared" si="15"/>
        <v>0</v>
      </c>
      <c r="F81" s="32">
        <f t="shared" si="15"/>
        <v>0</v>
      </c>
      <c r="G81" s="32">
        <f t="shared" si="15"/>
        <v>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1">
        <f t="shared" si="16"/>
        <v>0</v>
      </c>
    </row>
    <row r="82" spans="1:14" x14ac:dyDescent="0.35">
      <c r="A82" s="5" t="s">
        <v>83</v>
      </c>
      <c r="B82" s="32">
        <f>'5yr Budget Projection'!F96/12</f>
        <v>212.5</v>
      </c>
      <c r="C82" s="32">
        <f t="shared" si="15"/>
        <v>212.5</v>
      </c>
      <c r="D82" s="32">
        <f t="shared" si="15"/>
        <v>212.5</v>
      </c>
      <c r="E82" s="32">
        <f t="shared" si="15"/>
        <v>212.5</v>
      </c>
      <c r="F82" s="32">
        <f t="shared" si="15"/>
        <v>212.5</v>
      </c>
      <c r="G82" s="32">
        <f t="shared" si="15"/>
        <v>212.5</v>
      </c>
      <c r="H82" s="32">
        <f t="shared" si="15"/>
        <v>212.5</v>
      </c>
      <c r="I82" s="32">
        <f t="shared" si="15"/>
        <v>212.5</v>
      </c>
      <c r="J82" s="32">
        <f t="shared" si="15"/>
        <v>212.5</v>
      </c>
      <c r="K82" s="32">
        <f t="shared" si="15"/>
        <v>212.5</v>
      </c>
      <c r="L82" s="32">
        <f t="shared" si="15"/>
        <v>212.5</v>
      </c>
      <c r="M82" s="32">
        <f t="shared" si="15"/>
        <v>212.5</v>
      </c>
      <c r="N82" s="31">
        <f t="shared" si="16"/>
        <v>2550</v>
      </c>
    </row>
    <row r="83" spans="1:14" x14ac:dyDescent="0.35">
      <c r="A83" s="5" t="s">
        <v>84</v>
      </c>
      <c r="B83" s="32">
        <f>'5yr Budget Projection'!F97/12</f>
        <v>127.5</v>
      </c>
      <c r="C83" s="32">
        <f t="shared" si="15"/>
        <v>127.5</v>
      </c>
      <c r="D83" s="32">
        <f t="shared" si="15"/>
        <v>127.5</v>
      </c>
      <c r="E83" s="32">
        <f t="shared" si="15"/>
        <v>127.5</v>
      </c>
      <c r="F83" s="32">
        <f t="shared" si="15"/>
        <v>127.5</v>
      </c>
      <c r="G83" s="32">
        <f t="shared" si="15"/>
        <v>127.5</v>
      </c>
      <c r="H83" s="32">
        <f t="shared" si="15"/>
        <v>127.5</v>
      </c>
      <c r="I83" s="32">
        <f t="shared" si="15"/>
        <v>127.5</v>
      </c>
      <c r="J83" s="32">
        <f t="shared" si="15"/>
        <v>127.5</v>
      </c>
      <c r="K83" s="32">
        <f t="shared" si="15"/>
        <v>127.5</v>
      </c>
      <c r="L83" s="32">
        <f t="shared" ref="D83:M87" si="17">K83</f>
        <v>127.5</v>
      </c>
      <c r="M83" s="32">
        <f t="shared" si="17"/>
        <v>127.5</v>
      </c>
      <c r="N83" s="31">
        <f t="shared" si="16"/>
        <v>1530</v>
      </c>
    </row>
    <row r="84" spans="1:14" x14ac:dyDescent="0.35">
      <c r="A84" s="5" t="s">
        <v>85</v>
      </c>
      <c r="B84" s="32">
        <f>'5yr Budget Projection'!F98/12</f>
        <v>2550</v>
      </c>
      <c r="C84" s="32">
        <f t="shared" si="15"/>
        <v>2550</v>
      </c>
      <c r="D84" s="32">
        <f t="shared" si="17"/>
        <v>2550</v>
      </c>
      <c r="E84" s="32">
        <f t="shared" si="17"/>
        <v>2550</v>
      </c>
      <c r="F84" s="32">
        <f t="shared" si="17"/>
        <v>2550</v>
      </c>
      <c r="G84" s="32">
        <f t="shared" si="17"/>
        <v>2550</v>
      </c>
      <c r="H84" s="32">
        <f t="shared" si="17"/>
        <v>2550</v>
      </c>
      <c r="I84" s="32">
        <f t="shared" si="17"/>
        <v>2550</v>
      </c>
      <c r="J84" s="32">
        <f t="shared" si="17"/>
        <v>2550</v>
      </c>
      <c r="K84" s="32">
        <f t="shared" si="17"/>
        <v>2550</v>
      </c>
      <c r="L84" s="32">
        <f t="shared" si="17"/>
        <v>2550</v>
      </c>
      <c r="M84" s="32">
        <f t="shared" si="17"/>
        <v>2550</v>
      </c>
      <c r="N84" s="31">
        <f t="shared" si="16"/>
        <v>30600</v>
      </c>
    </row>
    <row r="85" spans="1:14" x14ac:dyDescent="0.35">
      <c r="A85" s="5" t="s">
        <v>86</v>
      </c>
      <c r="B85" s="32">
        <f>'5yr Budget Projection'!F99/12</f>
        <v>86.7</v>
      </c>
      <c r="C85" s="32">
        <f t="shared" si="15"/>
        <v>86.7</v>
      </c>
      <c r="D85" s="32">
        <f t="shared" si="17"/>
        <v>86.7</v>
      </c>
      <c r="E85" s="32">
        <f t="shared" si="17"/>
        <v>86.7</v>
      </c>
      <c r="F85" s="32">
        <f t="shared" si="17"/>
        <v>86.7</v>
      </c>
      <c r="G85" s="32">
        <f t="shared" si="17"/>
        <v>86.7</v>
      </c>
      <c r="H85" s="32">
        <f t="shared" si="17"/>
        <v>86.7</v>
      </c>
      <c r="I85" s="32">
        <f t="shared" si="17"/>
        <v>86.7</v>
      </c>
      <c r="J85" s="32">
        <f t="shared" si="17"/>
        <v>86.7</v>
      </c>
      <c r="K85" s="32">
        <f t="shared" si="17"/>
        <v>86.7</v>
      </c>
      <c r="L85" s="32">
        <f t="shared" si="17"/>
        <v>86.7</v>
      </c>
      <c r="M85" s="32">
        <f t="shared" si="17"/>
        <v>86.7</v>
      </c>
      <c r="N85" s="31">
        <f t="shared" si="16"/>
        <v>1040.4000000000003</v>
      </c>
    </row>
    <row r="86" spans="1:14" x14ac:dyDescent="0.35">
      <c r="A86" s="5" t="s">
        <v>87</v>
      </c>
      <c r="B86" s="32">
        <f>'5yr Budget Projection'!F100/12</f>
        <v>425</v>
      </c>
      <c r="C86" s="32">
        <f t="shared" si="15"/>
        <v>425</v>
      </c>
      <c r="D86" s="32">
        <f t="shared" si="17"/>
        <v>425</v>
      </c>
      <c r="E86" s="32">
        <f t="shared" si="17"/>
        <v>425</v>
      </c>
      <c r="F86" s="32">
        <f t="shared" si="17"/>
        <v>425</v>
      </c>
      <c r="G86" s="32">
        <f t="shared" si="17"/>
        <v>425</v>
      </c>
      <c r="H86" s="32">
        <f t="shared" si="17"/>
        <v>425</v>
      </c>
      <c r="I86" s="32">
        <f t="shared" si="17"/>
        <v>425</v>
      </c>
      <c r="J86" s="32">
        <f t="shared" si="17"/>
        <v>425</v>
      </c>
      <c r="K86" s="32">
        <f t="shared" si="17"/>
        <v>425</v>
      </c>
      <c r="L86" s="32">
        <f t="shared" si="17"/>
        <v>425</v>
      </c>
      <c r="M86" s="32">
        <f t="shared" si="17"/>
        <v>425</v>
      </c>
      <c r="N86" s="31">
        <f t="shared" si="16"/>
        <v>5100</v>
      </c>
    </row>
    <row r="87" spans="1:14" x14ac:dyDescent="0.35">
      <c r="A87" s="8" t="s">
        <v>136</v>
      </c>
      <c r="B87" s="32">
        <f>'5yr Budget Projection'!F101/12</f>
        <v>127.5</v>
      </c>
      <c r="C87" s="32">
        <f t="shared" si="15"/>
        <v>127.5</v>
      </c>
      <c r="D87" s="32">
        <f t="shared" si="17"/>
        <v>127.5</v>
      </c>
      <c r="E87" s="32">
        <f t="shared" si="17"/>
        <v>127.5</v>
      </c>
      <c r="F87" s="32">
        <f t="shared" si="17"/>
        <v>127.5</v>
      </c>
      <c r="G87" s="32">
        <f t="shared" si="17"/>
        <v>127.5</v>
      </c>
      <c r="H87" s="32">
        <f t="shared" si="17"/>
        <v>127.5</v>
      </c>
      <c r="I87" s="32">
        <f t="shared" si="17"/>
        <v>127.5</v>
      </c>
      <c r="J87" s="32">
        <f t="shared" si="17"/>
        <v>127.5</v>
      </c>
      <c r="K87" s="32">
        <f t="shared" si="17"/>
        <v>127.5</v>
      </c>
      <c r="L87" s="32">
        <f t="shared" si="17"/>
        <v>127.5</v>
      </c>
      <c r="M87" s="32">
        <f t="shared" si="17"/>
        <v>127.5</v>
      </c>
      <c r="N87" s="31">
        <f t="shared" si="16"/>
        <v>1530</v>
      </c>
    </row>
    <row r="88" spans="1:14" x14ac:dyDescent="0.3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6"/>
        <v>0</v>
      </c>
    </row>
    <row r="89" spans="1:14" x14ac:dyDescent="0.35">
      <c r="A89" s="7" t="s">
        <v>88</v>
      </c>
      <c r="B89" s="39">
        <f>SUM(B60:B88)</f>
        <v>20777.083333333336</v>
      </c>
      <c r="C89" s="39">
        <f t="shared" ref="C89:N89" si="18">SUM(C60:C88)</f>
        <v>20777.083333333336</v>
      </c>
      <c r="D89" s="39">
        <f t="shared" si="18"/>
        <v>20777.083333333336</v>
      </c>
      <c r="E89" s="39">
        <f t="shared" si="18"/>
        <v>20777.083333333336</v>
      </c>
      <c r="F89" s="39">
        <f t="shared" si="18"/>
        <v>20777.083333333336</v>
      </c>
      <c r="G89" s="39">
        <f t="shared" si="18"/>
        <v>20777.083333333336</v>
      </c>
      <c r="H89" s="39">
        <f t="shared" si="18"/>
        <v>20777.083333333336</v>
      </c>
      <c r="I89" s="39">
        <f t="shared" si="18"/>
        <v>20777.083333333336</v>
      </c>
      <c r="J89" s="39">
        <f t="shared" si="18"/>
        <v>20777.083333333336</v>
      </c>
      <c r="K89" s="39">
        <f t="shared" si="18"/>
        <v>20777.083333333336</v>
      </c>
      <c r="L89" s="39">
        <f t="shared" si="18"/>
        <v>20777.083333333336</v>
      </c>
      <c r="M89" s="39">
        <f t="shared" si="18"/>
        <v>20777.083333333336</v>
      </c>
      <c r="N89" s="39">
        <f t="shared" si="18"/>
        <v>249324.99999999997</v>
      </c>
    </row>
    <row r="90" spans="1:14" x14ac:dyDescent="0.35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 x14ac:dyDescent="0.35">
      <c r="A91" s="54" t="s">
        <v>89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 x14ac:dyDescent="0.35">
      <c r="A92" s="52" t="s">
        <v>90</v>
      </c>
      <c r="B92" s="53">
        <f>'5yr Budget Projection'!F106/12</f>
        <v>17986.875</v>
      </c>
      <c r="C92" s="53">
        <f>B92</f>
        <v>17986.875</v>
      </c>
      <c r="D92" s="53">
        <f t="shared" ref="D92:M92" si="19">C92</f>
        <v>17986.875</v>
      </c>
      <c r="E92" s="53">
        <f t="shared" si="19"/>
        <v>17986.875</v>
      </c>
      <c r="F92" s="53">
        <f t="shared" si="19"/>
        <v>17986.875</v>
      </c>
      <c r="G92" s="53">
        <f t="shared" si="19"/>
        <v>17986.875</v>
      </c>
      <c r="H92" s="53">
        <f t="shared" si="19"/>
        <v>17986.875</v>
      </c>
      <c r="I92" s="53">
        <f t="shared" si="19"/>
        <v>17986.875</v>
      </c>
      <c r="J92" s="53">
        <f t="shared" si="19"/>
        <v>17986.875</v>
      </c>
      <c r="K92" s="53">
        <f t="shared" si="19"/>
        <v>17986.875</v>
      </c>
      <c r="L92" s="53">
        <f t="shared" si="19"/>
        <v>17986.875</v>
      </c>
      <c r="M92" s="53">
        <f t="shared" si="19"/>
        <v>17986.875</v>
      </c>
      <c r="N92" s="42">
        <f t="shared" ref="N92:N98" si="20">SUM(B92:M92)</f>
        <v>215842.5</v>
      </c>
    </row>
    <row r="93" spans="1:14" x14ac:dyDescent="0.35">
      <c r="A93" s="5" t="s">
        <v>91</v>
      </c>
      <c r="B93" s="32">
        <f>'5yr Budget Projection'!F107/12</f>
        <v>499.8</v>
      </c>
      <c r="C93" s="32">
        <f t="shared" ref="C93:M96" si="21">B93</f>
        <v>499.8</v>
      </c>
      <c r="D93" s="32">
        <f t="shared" si="21"/>
        <v>499.8</v>
      </c>
      <c r="E93" s="32">
        <f t="shared" si="21"/>
        <v>499.8</v>
      </c>
      <c r="F93" s="32">
        <f t="shared" si="21"/>
        <v>499.8</v>
      </c>
      <c r="G93" s="32">
        <f t="shared" si="21"/>
        <v>499.8</v>
      </c>
      <c r="H93" s="32">
        <f t="shared" si="21"/>
        <v>499.8</v>
      </c>
      <c r="I93" s="32">
        <f t="shared" si="21"/>
        <v>499.8</v>
      </c>
      <c r="J93" s="32">
        <f t="shared" si="21"/>
        <v>499.8</v>
      </c>
      <c r="K93" s="32">
        <f t="shared" si="21"/>
        <v>499.8</v>
      </c>
      <c r="L93" s="32">
        <f t="shared" si="21"/>
        <v>499.8</v>
      </c>
      <c r="M93" s="32">
        <f t="shared" si="21"/>
        <v>499.8</v>
      </c>
      <c r="N93" s="31">
        <f t="shared" si="20"/>
        <v>5997.6000000000013</v>
      </c>
    </row>
    <row r="94" spans="1:14" x14ac:dyDescent="0.35">
      <c r="A94" s="5" t="s">
        <v>92</v>
      </c>
      <c r="B94" s="32">
        <f>'5yr Budget Projection'!F108/12</f>
        <v>850</v>
      </c>
      <c r="C94" s="32">
        <f t="shared" si="21"/>
        <v>850</v>
      </c>
      <c r="D94" s="32">
        <f t="shared" si="21"/>
        <v>850</v>
      </c>
      <c r="E94" s="32">
        <f t="shared" si="21"/>
        <v>850</v>
      </c>
      <c r="F94" s="32">
        <f t="shared" si="21"/>
        <v>850</v>
      </c>
      <c r="G94" s="32">
        <f t="shared" si="21"/>
        <v>850</v>
      </c>
      <c r="H94" s="32">
        <f t="shared" si="21"/>
        <v>850</v>
      </c>
      <c r="I94" s="32">
        <f t="shared" si="21"/>
        <v>850</v>
      </c>
      <c r="J94" s="32">
        <f t="shared" si="21"/>
        <v>850</v>
      </c>
      <c r="K94" s="32">
        <f t="shared" si="21"/>
        <v>850</v>
      </c>
      <c r="L94" s="32">
        <f t="shared" si="21"/>
        <v>850</v>
      </c>
      <c r="M94" s="32">
        <f t="shared" si="21"/>
        <v>850</v>
      </c>
      <c r="N94" s="31">
        <f t="shared" si="20"/>
        <v>10200</v>
      </c>
    </row>
    <row r="95" spans="1:14" x14ac:dyDescent="0.35">
      <c r="A95" s="5" t="s">
        <v>93</v>
      </c>
      <c r="B95" s="32">
        <f>'5yr Budget Projection'!F109/12</f>
        <v>1224</v>
      </c>
      <c r="C95" s="32">
        <f t="shared" si="21"/>
        <v>1224</v>
      </c>
      <c r="D95" s="32">
        <f t="shared" si="21"/>
        <v>1224</v>
      </c>
      <c r="E95" s="32">
        <f t="shared" si="21"/>
        <v>1224</v>
      </c>
      <c r="F95" s="32">
        <f t="shared" si="21"/>
        <v>1224</v>
      </c>
      <c r="G95" s="32">
        <f t="shared" si="21"/>
        <v>1224</v>
      </c>
      <c r="H95" s="32">
        <f t="shared" si="21"/>
        <v>1224</v>
      </c>
      <c r="I95" s="32">
        <f t="shared" si="21"/>
        <v>1224</v>
      </c>
      <c r="J95" s="32">
        <f t="shared" si="21"/>
        <v>1224</v>
      </c>
      <c r="K95" s="32">
        <f t="shared" si="21"/>
        <v>1224</v>
      </c>
      <c r="L95" s="32">
        <f t="shared" si="21"/>
        <v>1224</v>
      </c>
      <c r="M95" s="32">
        <f t="shared" si="21"/>
        <v>1224</v>
      </c>
      <c r="N95" s="31">
        <f t="shared" si="20"/>
        <v>14688</v>
      </c>
    </row>
    <row r="96" spans="1:14" x14ac:dyDescent="0.35">
      <c r="A96" s="5" t="s">
        <v>94</v>
      </c>
      <c r="B96" s="32">
        <f>'5yr Budget Projection'!F110/12</f>
        <v>127.5</v>
      </c>
      <c r="C96" s="32">
        <f t="shared" si="21"/>
        <v>127.5</v>
      </c>
      <c r="D96" s="32">
        <f t="shared" si="21"/>
        <v>127.5</v>
      </c>
      <c r="E96" s="32">
        <f t="shared" si="21"/>
        <v>127.5</v>
      </c>
      <c r="F96" s="32">
        <f t="shared" si="21"/>
        <v>127.5</v>
      </c>
      <c r="G96" s="32">
        <f t="shared" si="21"/>
        <v>127.5</v>
      </c>
      <c r="H96" s="32">
        <f t="shared" si="21"/>
        <v>127.5</v>
      </c>
      <c r="I96" s="32">
        <f t="shared" si="21"/>
        <v>127.5</v>
      </c>
      <c r="J96" s="32">
        <f t="shared" si="21"/>
        <v>127.5</v>
      </c>
      <c r="K96" s="32">
        <f t="shared" si="21"/>
        <v>127.5</v>
      </c>
      <c r="L96" s="32">
        <f t="shared" si="21"/>
        <v>127.5</v>
      </c>
      <c r="M96" s="32">
        <f t="shared" si="21"/>
        <v>127.5</v>
      </c>
      <c r="N96" s="31">
        <f t="shared" si="20"/>
        <v>1530</v>
      </c>
    </row>
    <row r="97" spans="1:14" x14ac:dyDescent="0.3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1">
        <f t="shared" si="20"/>
        <v>0</v>
      </c>
    </row>
    <row r="98" spans="1:14" x14ac:dyDescent="0.3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20"/>
        <v>0</v>
      </c>
    </row>
    <row r="99" spans="1:14" x14ac:dyDescent="0.35">
      <c r="A99" s="7" t="s">
        <v>95</v>
      </c>
      <c r="B99" s="39">
        <f>SUM(B92:B98)</f>
        <v>20688.174999999999</v>
      </c>
      <c r="C99" s="39">
        <f t="shared" ref="C99:N99" si="22">SUM(C92:C98)</f>
        <v>20688.174999999999</v>
      </c>
      <c r="D99" s="39">
        <f t="shared" si="22"/>
        <v>20688.174999999999</v>
      </c>
      <c r="E99" s="39">
        <f t="shared" si="22"/>
        <v>20688.174999999999</v>
      </c>
      <c r="F99" s="39">
        <f t="shared" si="22"/>
        <v>20688.174999999999</v>
      </c>
      <c r="G99" s="39">
        <f t="shared" si="22"/>
        <v>20688.174999999999</v>
      </c>
      <c r="H99" s="39">
        <f t="shared" si="22"/>
        <v>20688.174999999999</v>
      </c>
      <c r="I99" s="39">
        <f t="shared" si="22"/>
        <v>20688.174999999999</v>
      </c>
      <c r="J99" s="39">
        <f t="shared" si="22"/>
        <v>20688.174999999999</v>
      </c>
      <c r="K99" s="39">
        <f t="shared" si="22"/>
        <v>20688.174999999999</v>
      </c>
      <c r="L99" s="39">
        <f t="shared" si="22"/>
        <v>20688.174999999999</v>
      </c>
      <c r="M99" s="39">
        <f t="shared" si="22"/>
        <v>20688.174999999999</v>
      </c>
      <c r="N99" s="39">
        <f t="shared" si="22"/>
        <v>248258.1</v>
      </c>
    </row>
    <row r="100" spans="1:14" x14ac:dyDescent="0.35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x14ac:dyDescent="0.35">
      <c r="A101" s="7" t="s">
        <v>122</v>
      </c>
      <c r="B101" s="39">
        <f>ROUND(B39+B57+B89+B99,2)</f>
        <v>152795.45000000001</v>
      </c>
      <c r="C101" s="39">
        <f t="shared" ref="C101:M101" si="23">ROUND(C39+C57+C89+C99,2)</f>
        <v>152795.45000000001</v>
      </c>
      <c r="D101" s="39">
        <f t="shared" si="23"/>
        <v>152795.45000000001</v>
      </c>
      <c r="E101" s="39">
        <f t="shared" si="23"/>
        <v>152795.45000000001</v>
      </c>
      <c r="F101" s="39">
        <f t="shared" si="23"/>
        <v>152795.45000000001</v>
      </c>
      <c r="G101" s="39">
        <f t="shared" si="23"/>
        <v>152795.45000000001</v>
      </c>
      <c r="H101" s="39">
        <f t="shared" si="23"/>
        <v>152795.45000000001</v>
      </c>
      <c r="I101" s="39">
        <f t="shared" si="23"/>
        <v>152795.45000000001</v>
      </c>
      <c r="J101" s="39">
        <f t="shared" si="23"/>
        <v>152795.45000000001</v>
      </c>
      <c r="K101" s="39">
        <f t="shared" si="23"/>
        <v>152795.45000000001</v>
      </c>
      <c r="L101" s="39">
        <f t="shared" si="23"/>
        <v>152795.45000000001</v>
      </c>
      <c r="M101" s="39">
        <f t="shared" si="23"/>
        <v>152795.45000000001</v>
      </c>
      <c r="N101" s="39">
        <f t="shared" ref="N101" si="24">N39+N57+N89+N99</f>
        <v>1833545.4468043144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5" t="s">
        <v>123</v>
      </c>
      <c r="B103" s="32">
        <f>'5yr Budget Projection'!F117/12</f>
        <v>0</v>
      </c>
      <c r="C103" s="32">
        <f>B103</f>
        <v>0</v>
      </c>
      <c r="D103" s="32">
        <f t="shared" ref="D103:M103" si="25">C103</f>
        <v>0</v>
      </c>
      <c r="E103" s="32">
        <f t="shared" si="25"/>
        <v>0</v>
      </c>
      <c r="F103" s="32">
        <f t="shared" si="25"/>
        <v>0</v>
      </c>
      <c r="G103" s="32">
        <f t="shared" si="25"/>
        <v>0</v>
      </c>
      <c r="H103" s="32">
        <f t="shared" si="25"/>
        <v>0</v>
      </c>
      <c r="I103" s="32">
        <f t="shared" si="25"/>
        <v>0</v>
      </c>
      <c r="J103" s="32">
        <f t="shared" si="25"/>
        <v>0</v>
      </c>
      <c r="K103" s="32">
        <f t="shared" si="25"/>
        <v>0</v>
      </c>
      <c r="L103" s="32">
        <f t="shared" si="25"/>
        <v>0</v>
      </c>
      <c r="M103" s="32">
        <f t="shared" si="25"/>
        <v>0</v>
      </c>
      <c r="N103" s="39">
        <f>SUM(B103:M103)</f>
        <v>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127</v>
      </c>
      <c r="B105" s="39">
        <f t="shared" ref="B105:N105" si="26">B16-(B101+B103)</f>
        <v>5181.3399999999965</v>
      </c>
      <c r="C105" s="39">
        <f t="shared" si="26"/>
        <v>5181.3399999999965</v>
      </c>
      <c r="D105" s="39">
        <f t="shared" si="26"/>
        <v>5181.3399999999965</v>
      </c>
      <c r="E105" s="39">
        <f t="shared" si="26"/>
        <v>5181.3399999999965</v>
      </c>
      <c r="F105" s="39">
        <f t="shared" si="26"/>
        <v>5181.3399999999965</v>
      </c>
      <c r="G105" s="39">
        <f t="shared" si="26"/>
        <v>5181.3399999999965</v>
      </c>
      <c r="H105" s="39">
        <f t="shared" si="26"/>
        <v>5181.3399999999965</v>
      </c>
      <c r="I105" s="39">
        <f t="shared" si="26"/>
        <v>5181.3399999999965</v>
      </c>
      <c r="J105" s="39">
        <f t="shared" si="26"/>
        <v>5181.3399999999965</v>
      </c>
      <c r="K105" s="39">
        <f t="shared" si="26"/>
        <v>5181.3399999999965</v>
      </c>
      <c r="L105" s="39">
        <f t="shared" si="26"/>
        <v>5181.3399999999965</v>
      </c>
      <c r="M105" s="39">
        <f t="shared" si="26"/>
        <v>5181.3399999999965</v>
      </c>
      <c r="N105" s="39">
        <f t="shared" si="26"/>
        <v>62176.005260685459</v>
      </c>
    </row>
    <row r="106" spans="1:14" x14ac:dyDescent="0.35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x14ac:dyDescent="0.35">
      <c r="A107" s="7" t="s">
        <v>125</v>
      </c>
      <c r="B107" s="39">
        <f>ROUND(B3+B105,2)</f>
        <v>269992.74</v>
      </c>
      <c r="C107" s="39">
        <f t="shared" ref="C107:M107" si="27">ROUND(C3+C105,2)</f>
        <v>275174.08</v>
      </c>
      <c r="D107" s="39">
        <f t="shared" si="27"/>
        <v>280355.42</v>
      </c>
      <c r="E107" s="39">
        <f t="shared" si="27"/>
        <v>285536.76</v>
      </c>
      <c r="F107" s="39">
        <f t="shared" si="27"/>
        <v>290718.09999999998</v>
      </c>
      <c r="G107" s="39">
        <f t="shared" si="27"/>
        <v>295899.44</v>
      </c>
      <c r="H107" s="39">
        <f t="shared" si="27"/>
        <v>301080.78000000003</v>
      </c>
      <c r="I107" s="39">
        <f t="shared" si="27"/>
        <v>306262.12</v>
      </c>
      <c r="J107" s="39">
        <f t="shared" si="27"/>
        <v>311443.46000000002</v>
      </c>
      <c r="K107" s="39">
        <f t="shared" si="27"/>
        <v>316624.8</v>
      </c>
      <c r="L107" s="39">
        <f t="shared" si="27"/>
        <v>321806.14</v>
      </c>
      <c r="M107" s="39">
        <f t="shared" si="27"/>
        <v>326987.48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12" sqref="A12:A13"/>
    </sheetView>
  </sheetViews>
  <sheetFormatPr defaultColWidth="8.7265625" defaultRowHeight="14.5" x14ac:dyDescent="0.35"/>
  <cols>
    <col min="1" max="1" width="92.453125" bestFit="1" customWidth="1"/>
    <col min="2" max="7" width="20.26953125" customWidth="1"/>
  </cols>
  <sheetData>
    <row r="1" spans="1:7" ht="23.5" x14ac:dyDescent="0.55000000000000004">
      <c r="A1" s="25" t="str">
        <f>'5yr Budget Projection'!A2</f>
        <v xml:space="preserve">School Name: Tapestry Public Charter School Clayton </v>
      </c>
      <c r="B1" s="24" t="s">
        <v>1</v>
      </c>
      <c r="C1" s="24" t="s">
        <v>3</v>
      </c>
      <c r="D1" s="24" t="s">
        <v>4</v>
      </c>
      <c r="E1" s="24" t="s">
        <v>5</v>
      </c>
      <c r="F1" s="24" t="s">
        <v>6</v>
      </c>
      <c r="G1" s="24" t="s">
        <v>7</v>
      </c>
    </row>
    <row r="2" spans="1:7" ht="23.5" x14ac:dyDescent="0.55000000000000004">
      <c r="A2" s="23" t="s">
        <v>98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5" x14ac:dyDescent="0.55000000000000004">
      <c r="A3" s="23" t="s">
        <v>131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5" x14ac:dyDescent="0.55000000000000004">
      <c r="A4" s="23" t="s">
        <v>132</v>
      </c>
      <c r="B4" s="65" t="str">
        <f>IF('5yr Budget Projection'!C113&gt;15%,"Red Flag!","OK")</f>
        <v>Red Flag!</v>
      </c>
      <c r="C4" s="65" t="str">
        <f>IF('5yr Budget Projection'!E113&gt;15%,"Red Flag!","OK")</f>
        <v>OK</v>
      </c>
      <c r="D4" s="65" t="str">
        <f>IF('5yr Budget Projection'!G113&gt;15%,"Red Flag!","OK")</f>
        <v>OK</v>
      </c>
      <c r="E4" s="65" t="str">
        <f>IF('5yr Budget Projection'!I113&gt;15%,"Red Flag!","OK")</f>
        <v>OK</v>
      </c>
      <c r="F4" s="65" t="str">
        <f>IF('5yr Budget Projection'!K113&gt;15%,"Red Flag!","OK")</f>
        <v>OK</v>
      </c>
      <c r="G4" s="65" t="str">
        <f>IF('5yr Budget Projection'!M113&gt;15%,"Red Flag!","OK")</f>
        <v>OK</v>
      </c>
    </row>
    <row r="6" spans="1:7" ht="59.65" customHeight="1" x14ac:dyDescent="0.5">
      <c r="A6" s="28" t="s">
        <v>133</v>
      </c>
      <c r="B6" s="66" t="s">
        <v>214</v>
      </c>
      <c r="C6" s="66" t="s">
        <v>214</v>
      </c>
      <c r="D6" s="67" t="s">
        <v>214</v>
      </c>
      <c r="E6" s="29"/>
      <c r="F6" s="30"/>
      <c r="G6" s="30"/>
    </row>
    <row r="7" spans="1:7" ht="23.5" x14ac:dyDescent="0.55000000000000004">
      <c r="A7" s="27"/>
    </row>
  </sheetData>
  <sheetProtection sheet="1" objects="1" scenarios="1" formatCells="0" formatColumns="0" formatRows="0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6:D6">
    <cfRule type="containsText" dxfId="1" priority="1" stopIfTrue="1" operator="containsText" text="NO">
      <formula>NOT(ISERROR(SEARCH("NO",B6)))</formula>
    </cfRule>
  </conditionalFormatting>
  <conditionalFormatting sqref="B2:G4">
    <cfRule type="containsText" dxfId="0" priority="2" stopIfTrue="1" operator="containsText" text="Red Flag!">
      <formula>NOT(ISERROR(SEARCH("Red Flag!",B2)))</formula>
    </cfRule>
  </conditionalFormatting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 xmlns="c76b7268-36ad-4fc3-a9f2-0cd2729cd357" xsi:nil="true"/>
    <TaxCatchAll xmlns="1d496aed-39d0-4758-b3cf-4e4773287716"/>
    <Page_x0020_SubHeader xmlns="c76b7268-36ad-4fc3-a9f2-0cd2729cd357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9C064F8845244873184980B8CB82D" ma:contentTypeVersion="3" ma:contentTypeDescription="Create a new document." ma:contentTypeScope="" ma:versionID="5fe2cae6983e2a485f665daa4ce8e4d6">
  <xsd:schema xmlns:xsd="http://www.w3.org/2001/XMLSchema" xmlns:xs="http://www.w3.org/2001/XMLSchema" xmlns:p="http://schemas.microsoft.com/office/2006/metadata/properties" xmlns:ns1="http://schemas.microsoft.com/sharepoint/v3" xmlns:ns2="1d496aed-39d0-4758-b3cf-4e4773287716" xmlns:ns3="c76b7268-36ad-4fc3-a9f2-0cd2729cd357" targetNamespace="http://schemas.microsoft.com/office/2006/metadata/properties" ma:root="true" ma:fieldsID="f3fe567019fd4670b1dc970df88489b9" ns1:_="" ns2:_="" ns3:_="">
    <xsd:import namespace="http://schemas.microsoft.com/sharepoint/v3"/>
    <xsd:import namespace="1d496aed-39d0-4758-b3cf-4e4773287716"/>
    <xsd:import namespace="c76b7268-36ad-4fc3-a9f2-0cd2729cd35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3:Page" minOccurs="0"/>
                <xsd:element ref="ns3:Page_x0020_SubHea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internalName="PublishingStartDate">
      <xsd:simpleType>
        <xsd:restriction base="dms:Unknown"/>
      </xsd:simpleType>
    </xsd:element>
    <xsd:element name="PublishingExpirationDate" ma:index="1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96aed-39d0-4758-b3cf-4e477328771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c9dd594f-b3c3-485c-979e-10fa5fdd8c85}" ma:internalName="TaxCatchAll" ma:showField="CatchAllData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c9dd594f-b3c3-485c-979e-10fa5fdd8c85}" ma:internalName="TaxCatchAllLabel" ma:readOnly="true" ma:showField="CatchAllDataLabel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7268-36ad-4fc3-a9f2-0cd2729cd357" elementFormDefault="qualified">
    <xsd:import namespace="http://schemas.microsoft.com/office/2006/documentManagement/types"/>
    <xsd:import namespace="http://schemas.microsoft.com/office/infopath/2007/PartnerControls"/>
    <xsd:element name="Page" ma:index="12" nillable="true" ma:displayName="Page" ma:list="{0B93EE22-5B19-4588-8FCF-49CD621FFFCC}" ma:internalName="Page">
      <xsd:simpleType>
        <xsd:restriction base="dms:Lookup"/>
      </xsd:simpleType>
    </xsd:element>
    <xsd:element name="Page_x0020_SubHeader" ma:index="13" nillable="true" ma:displayName="Page SubHeader" ma:internalName="Page_x0020_SubHeader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65064-9926-4005-BAE3-6A1C7EA2C012}">
  <ds:schemaRefs>
    <ds:schemaRef ds:uri="1d496aed-39d0-4758-b3cf-4e4773287716"/>
    <ds:schemaRef ds:uri="http://purl.org/dc/elements/1.1/"/>
    <ds:schemaRef ds:uri="http://purl.org/dc/terms/"/>
    <ds:schemaRef ds:uri="http://schemas.microsoft.com/sharepoint/v3"/>
    <ds:schemaRef ds:uri="http://schemas.microsoft.com/office/2006/documentManagement/types"/>
    <ds:schemaRef ds:uri="http://www.w3.org/XML/1998/namespace"/>
    <ds:schemaRef ds:uri="c76b7268-36ad-4fc3-a9f2-0cd2729cd35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24DD56-4333-4107-9C3B-2AC128705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496aed-39d0-4758-b3cf-4e4773287716"/>
    <ds:schemaRef ds:uri="c76b7268-36ad-4fc3-a9f2-0cd2729cd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Terence Washington</dc:creator>
  <cp:keywords/>
  <dc:description/>
  <cp:lastModifiedBy>Long, Bridget</cp:lastModifiedBy>
  <cp:revision/>
  <cp:lastPrinted>2025-02-27T20:48:39Z</cp:lastPrinted>
  <dcterms:created xsi:type="dcterms:W3CDTF">2010-09-17T17:11:18Z</dcterms:created>
  <dcterms:modified xsi:type="dcterms:W3CDTF">2025-05-28T13:46:04Z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0x0101002F49C064F8845244873184980B8CB82D</vt:lpwstr>
  </property>
</Properties>
</file>