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ice" sheetId="1" r:id="rId4"/>
  </sheets>
  <externalReferences>
    <externalReference r:id="rId5"/>
  </externalReferences>
  <definedNames>
    <definedName name="F001P100F2400O6100">#REF!</definedName>
    <definedName name="F001P200PYDisabilityTot">#REF!</definedName>
    <definedName name="F630TotalCurrFY">#REF!</definedName>
    <definedName name="F072BudgFY">#REF!</definedName>
    <definedName name="F001P200F2900O6200">#REF!</definedName>
    <definedName name="SPEDVocTechEdBudgFY">#REF!</definedName>
    <definedName name="F001P530O6600">#REF!</definedName>
    <definedName name="F001P200F2400O6200">#REF!</definedName>
    <definedName name="SPEDELLIncCostBudgFY">#REF!</definedName>
    <definedName name="F001TotExpCurrFY">#REF!</definedName>
    <definedName name="F001P100F2900O6100">#REF!</definedName>
    <definedName name="F001P100F3000O6100">#REF!</definedName>
    <definedName name="JTEDBudgFY">#REF!</definedName>
    <definedName name="F001P200F2200O6600">#REF!</definedName>
    <definedName name="F001P540O630064006500">#REF!</definedName>
    <definedName name="F001P200F2100O630064006500">#REF!</definedName>
    <definedName name="F001P700800900O630064006500">#REF!</definedName>
    <definedName name="F001P530O6800">#REF!</definedName>
    <definedName name="SPEDRemedialEdBudgFY">#REF!</definedName>
    <definedName name="F001P100F2600O6600">#REF!</definedName>
    <definedName name="SPEDVocTechEdCurrFY">#REF!</definedName>
    <definedName name="F001P100F2100O6800">#REF!</definedName>
    <definedName name="F001P200F2500O6600">#REF!</definedName>
    <definedName name="F001P200F2600O6200">#REF!</definedName>
    <definedName name="F001P100F1000O6800">#REF!</definedName>
    <definedName name="F001P200F1000O6600">#REF!</definedName>
    <definedName name="F001P200F2300O6100">#REF!</definedName>
    <definedName name="F001P100F1000O6200">#REF!</definedName>
    <definedName name="F020TotBudgFY">#REF!</definedName>
    <definedName name="F001P620O6100">#REF!</definedName>
    <definedName name="GBLBudgFY">#REF!</definedName>
    <definedName name="F001P200F3000O6200">#REF!</definedName>
    <definedName name="F001P100F2300O6100">#REF!</definedName>
    <definedName name="F620TotalCurrFY">#REF!</definedName>
    <definedName name="CSFBLBudgFY">#REF!</definedName>
    <definedName name="F001P100F2500O6200">#REF!</definedName>
    <definedName name="F072CurrFY">#REF!</definedName>
    <definedName name="F001P540O6200">#REF!</definedName>
    <definedName name="SPEDTeacher">Notice!$N$45</definedName>
    <definedName name="F001P200F1000O630064006500">#REF!</definedName>
    <definedName name="F001P540O6100">#REF!</definedName>
    <definedName name="F001P100F2100O630064006500">#REF!</definedName>
    <definedName name="F001TotalExp">#REF!</definedName>
    <definedName name="F001P200F2300O6800">#REF!</definedName>
    <definedName name="F001P100F2500O6800">#REF!</definedName>
    <definedName name="F510CurrFY">#REF!</definedName>
    <definedName name="F001P200F2400O630064006500">#REF!</definedName>
    <definedName name="SPEDStaff">Notice!$N$46</definedName>
    <definedName name="F001P530O6100">#REF!</definedName>
    <definedName name="F001P100F2500O6600">#REF!</definedName>
    <definedName name="F001P620O6800">#REF!</definedName>
    <definedName name="F001P200F2100O6800">#REF!</definedName>
    <definedName name="F001P610O630064006500">#REF!</definedName>
    <definedName name="F001P200F3000O6600">#REF!</definedName>
    <definedName name="F010O6590BudgFY">#REF!</definedName>
    <definedName name="F001P200F2600O6100">#REF!</definedName>
    <definedName name="F001P100F2300O6200">#REF!</definedName>
    <definedName name="F001P200F2300O6600">#REF!</definedName>
    <definedName name="SPEDELLIncCostCurrFY">#REF!</definedName>
    <definedName name="F001P100F2500O6100">#REF!</definedName>
    <definedName name="F620TotalBudgFY">#REF!</definedName>
    <definedName name="F001P200F2400O6100">#REF!</definedName>
    <definedName name="F001P530O6200">#REF!</definedName>
    <definedName name="F001P100F2400O6600">#REF!</definedName>
    <definedName name="F001P200TotBudgFY">#REF!</definedName>
    <definedName name="F001P100F1000O6100">#REF!</definedName>
    <definedName name="F001P200F2500O630064006500">#REF!</definedName>
    <definedName name="PriorYearADM">Notice!$C$13</definedName>
    <definedName name="F001P700800900O6600">#REF!</definedName>
    <definedName name="F001P100F1000O630064006500">#REF!</definedName>
    <definedName name="F001P100F2400O630064006500">#REF!</definedName>
    <definedName name="TotFedProjFundCurrFY">#REF!</definedName>
    <definedName name="F001P400O6600">#REF!</definedName>
    <definedName name="F001P200F1000O6200">#REF!</definedName>
    <definedName name="F001P510O6800">#REF!</definedName>
    <definedName name="F001P630O630064006500">#REF!</definedName>
    <definedName name="F001P100F3000O6200">#REF!</definedName>
    <definedName name="TotStateProjFundCurrFY">#REF!</definedName>
    <definedName name="F001P200F2100O6100">#REF!</definedName>
    <definedName name="F695TotalBudgFY">#REF!</definedName>
    <definedName name="F001P200F2200O6200">#REF!</definedName>
    <definedName name="F001P200F2200O630064006500">#REF!</definedName>
    <definedName name="BudgetYearADM">Notice!$H$13</definedName>
    <definedName name="F001P200F2600O630064006500">#REF!</definedName>
    <definedName name="F001P200F2100O6200">#REF!</definedName>
    <definedName name="F001P200F3000O630064006500">#REF!</definedName>
    <definedName name="F001P200F2900O6800">#REF!</definedName>
    <definedName name="F001P510O630064006500">#REF!</definedName>
    <definedName name="F001P400O6100">#REF!</definedName>
    <definedName name="F001P610O6200">#REF!</definedName>
    <definedName name="F001P100F2200O6200">#REF!</definedName>
    <definedName name="SPEDCareerEdCurrFY">#REF!</definedName>
    <definedName name="F630TotalBudgFY">#REF!</definedName>
    <definedName name="F001P620O6200">#REF!</definedName>
    <definedName name="F001P550O6600">#REF!</definedName>
    <definedName name="F001P510O6200">#REF!</definedName>
    <definedName name="F001P200F3000O6100">#REF!</definedName>
    <definedName name="F001P100F2100O6100">#REF!</definedName>
    <definedName name="F001P100F3000O6800">#REF!</definedName>
    <definedName name="F001P200F2500O6100">#REF!</definedName>
    <definedName name="F001P200F1000O6800">#REF!</definedName>
    <definedName name="F510BudgFY">#REF!</definedName>
    <definedName name="F001P610O6100">#REF!</definedName>
    <definedName name="F700CurrFY">#REF!</definedName>
    <definedName name="F001P100F2500O630064006500">#REF!</definedName>
    <definedName name="SPEDELLCompInstrBudgFY">#REF!</definedName>
    <definedName name="F001P100F2400O6800">#REF!</definedName>
    <definedName name="F001P630O6100">#REF!</definedName>
    <definedName name="F001P200F2900O630064006500">#REF!</definedName>
    <definedName name="F525BudgFY">#REF!</definedName>
    <definedName name="F500CurrFY">#REF!</definedName>
    <definedName name="TotClassSiteFundExpCurrFY">#REF!</definedName>
    <definedName name="F001P200F2200O6100">#REF!</definedName>
    <definedName name="F001P550O630064006500">#REF!</definedName>
    <definedName name="F001P200F2200O6800">#REF!</definedName>
    <definedName name="F001P200F2500O6800">#REF!</definedName>
    <definedName name="F001P100F3000O6600">#REF!</definedName>
    <definedName name="F001P100F2400O6200">#REF!</definedName>
    <definedName name="F001P550O6100">#REF!</definedName>
    <definedName name="F001P200F3000O6800">#REF!</definedName>
    <definedName name="TotFedProjFundBudgFY">#REF!</definedName>
    <definedName name="F001P100F2300O6800">#REF!</definedName>
    <definedName name="F001P100F1000O6600">#REF!</definedName>
    <definedName name="F001P100F2900O6800">#REF!</definedName>
    <definedName name="F001P100F2600O6200">#REF!</definedName>
    <definedName name="F001P200F2600O6800">#REF!</definedName>
    <definedName name="F001P100F3000O630064006500">#REF!</definedName>
    <definedName name="F001P540O6600">#REF!</definedName>
    <definedName name="UCBLBudgFY">#REF!</definedName>
    <definedName name="TotSecTaxRateBudgFY">#REF!</definedName>
    <definedName name="F001P100F2600O6100">#REF!</definedName>
    <definedName name="F001P100F2100O6600">#REF!</definedName>
    <definedName name="F071CurrFY">#REF!</definedName>
    <definedName name="F500BudgFY">#REF!</definedName>
    <definedName name="F001P200F1000O6100">#REF!</definedName>
    <definedName name="F695TotalCurrFY">#REF!</definedName>
    <definedName name="F001P100F2200O6600">#REF!</definedName>
    <definedName name="F001P610O6600">#REF!</definedName>
    <definedName name="F001P200F2900O6100">#REF!</definedName>
    <definedName name="F001P200F2400O6800">#REF!</definedName>
    <definedName name="F001P630O6200">#REF!</definedName>
    <definedName name="F001P200Subtotal">#REF!</definedName>
    <definedName name="F001P630O6600">#REF!</definedName>
    <definedName name="TotSecTaxRateCurrFY">#REF!</definedName>
    <definedName name="F001P200F2600O6600">#REF!</definedName>
    <definedName name="F001P610O6800">#REF!</definedName>
    <definedName name="F001P550O6200">#REF!</definedName>
    <definedName name="F001P620O630064006500">#REF!</definedName>
    <definedName name="F001P620O6600">#REF!</definedName>
    <definedName name="F001P400O630064006500">#REF!</definedName>
    <definedName name="F001P100F2200O630064006500">#REF!</definedName>
    <definedName name="F001P100F2300O630064006500">#REF!</definedName>
    <definedName name="F001P700800900O6200">#REF!</definedName>
    <definedName name="F001P200F2900O6600">#REF!</definedName>
    <definedName name="F001P200F2300O6200">#REF!</definedName>
    <definedName name="EstTaxRateBudgFY">#REF!</definedName>
    <definedName name="F071BudgFY">#REF!</definedName>
    <definedName name="PrimTaxRateCurrFY">#REF!</definedName>
    <definedName name="F001P540O6800">#REF!</definedName>
    <definedName name="F525CurrFY">#REF!</definedName>
    <definedName name="F001P700800900O6100">#REF!</definedName>
    <definedName name="F001P100F2900O6600">#REF!</definedName>
    <definedName name="F001P400O6800">#REF!</definedName>
    <definedName name="TotStateProjFundBudgFY">#REF!</definedName>
    <definedName name="F001P200F2100O6600">#REF!</definedName>
    <definedName name="F001P100F2600O6800">#REF!</definedName>
    <definedName name="F020TotCurrFY">#REF!</definedName>
    <definedName name="F001P100F2200O6100">#REF!</definedName>
    <definedName name="F001P100F2900O6200">#REF!</definedName>
    <definedName name="F001P100F2300O6600">#REF!</definedName>
    <definedName name="F001P200F2400O6600">#REF!</definedName>
    <definedName name="F001P100F2900O630064006500">#REF!</definedName>
    <definedName name="F001P510O6600">#REF!</definedName>
    <definedName name="F001P100F2200O6800">#REF!</definedName>
    <definedName name="F001P100F2100O6200">#REF!</definedName>
    <definedName name="F001P630O6800">#REF!</definedName>
    <definedName name="SPEDCareerEdBudgFY">#REF!</definedName>
    <definedName name="SPEDGiftedEdBudgFY">#REF!</definedName>
    <definedName name="F001P200F2500O6200">#REF!</definedName>
    <definedName name="F001P400O6200">#REF!</definedName>
    <definedName name="F001P200F2300O630064006500">#REF!</definedName>
    <definedName name="F700BudgFY">#REF!</definedName>
    <definedName name="F001P100F2600O630064006500">#REF!</definedName>
    <definedName name="TotClassSiteFundExpBudgFY">#REF!</definedName>
    <definedName name="F610TotalCurrFY">#REF!</definedName>
    <definedName name="F001P700800900O6800">#REF!</definedName>
    <definedName name="F001P550O6800">#REF!</definedName>
    <definedName name="SPEDRemedialEdCurrFY">#REF!</definedName>
    <definedName name="F610TotalBudgFY">#REF!</definedName>
    <definedName name="F001P510O6100">#REF!</definedName>
    <definedName name="SPEDGiftedEdCurrFY">#REF!</definedName>
    <definedName name="SPEDELLCompInstrCurrFY">#REF!</definedName>
    <definedName name="F001P530O630064006500">#REF!</definedName>
  </definedNames>
  <calcPr/>
  <extLst>
    <ext uri="GoogleSheetsCustomDataVersion2">
      <go:sheetsCustomData xmlns:go="http://customooxmlschemas.google.com/" r:id="rId6" roundtripDataChecksum="pLaOaKj74TMUD45L0qNxrNF/j93GVwiQGkGgtujXfZU="/>
    </ext>
  </extLst>
</workbook>
</file>

<file path=xl/sharedStrings.xml><?xml version="1.0" encoding="utf-8"?>
<sst xmlns="http://schemas.openxmlformats.org/spreadsheetml/2006/main" count="190" uniqueCount="153">
  <si>
    <t>District:</t>
  </si>
  <si>
    <t>CTDS:</t>
  </si>
  <si>
    <t>070438000</t>
  </si>
  <si>
    <r>
      <rPr>
        <rFont val="Arial"/>
        <color theme="0"/>
        <sz val="10.0"/>
      </rPr>
      <t xml:space="preserve">This is a notification that the above mentioned School District will be having a public hearing and board meeting to </t>
    </r>
    <r>
      <rPr>
        <rFont val="Arial"/>
        <b/>
        <color theme="0"/>
        <sz val="10.0"/>
      </rPr>
      <t>revise</t>
    </r>
    <r>
      <rPr>
        <rFont val="Arial"/>
        <color theme="0"/>
        <sz val="10.0"/>
      </rPr>
      <t xml:space="preserve"> its Fiscal Year 2025 Expenditure Budget, as required by A.R.S. §15-905(E)(1).</t>
    </r>
  </si>
  <si>
    <r>
      <rPr>
        <rFont val="Arial"/>
        <color theme="0"/>
        <sz val="10.0"/>
      </rPr>
      <t xml:space="preserve">This is a notification that the above mentioned School District will be having a public hearing and board meeting to </t>
    </r>
    <r>
      <rPr>
        <rFont val="Arial"/>
        <b/>
        <color theme="0"/>
        <sz val="10.0"/>
      </rPr>
      <t>adopt</t>
    </r>
    <r>
      <rPr>
        <rFont val="Arial"/>
        <color theme="0"/>
        <sz val="10.0"/>
      </rPr>
      <t xml:space="preserve"> its Fiscal Year 2025 Expenditure Budget.</t>
    </r>
  </si>
  <si>
    <t>Meeting Date:</t>
  </si>
  <si>
    <t>Time:</t>
  </si>
  <si>
    <t>6:00PM</t>
  </si>
  <si>
    <t>Location:</t>
  </si>
  <si>
    <t>Street Address:</t>
  </si>
  <si>
    <t>5601 N 16th Street</t>
  </si>
  <si>
    <t>Bldg:</t>
  </si>
  <si>
    <t>District Offices</t>
  </si>
  <si>
    <t>Rm/Ste:</t>
  </si>
  <si>
    <t>Governing Board Room</t>
  </si>
  <si>
    <t>City:</t>
  </si>
  <si>
    <t>Phoenix</t>
  </si>
  <si>
    <t>State:</t>
  </si>
  <si>
    <t>AZ</t>
  </si>
  <si>
    <t>Zip:</t>
  </si>
  <si>
    <t>A copy of the agenda of the matters to be discussed or decided at the meeting may be obtained by contacting:</t>
  </si>
  <si>
    <t>Contact Name:</t>
  </si>
  <si>
    <t>Ella Conroy</t>
  </si>
  <si>
    <t>Phone:</t>
  </si>
  <si>
    <t>602-664-7916</t>
  </si>
  <si>
    <t>Email Address:</t>
  </si>
  <si>
    <t>econroy@madisoned.org</t>
  </si>
  <si>
    <t>Phone Ext:</t>
  </si>
  <si>
    <t>The information above is posted on ADE's Web site pursuant to A.R.S. §15-905(C) and is not intended to satisfy Open Meeting Law requirements under A.R.S. §38-431.02 et seq.</t>
  </si>
  <si>
    <t>Comments:</t>
  </si>
  <si>
    <t>revised by the Governing Board on</t>
  </si>
  <si>
    <t>CTDS NUMBER</t>
  </si>
  <si>
    <t>proposed by the Governing Board on</t>
  </si>
  <si>
    <t>VERSION</t>
  </si>
  <si>
    <t>I certify that the Budget of</t>
  </si>
  <si>
    <t>Madison Elementary School</t>
  </si>
  <si>
    <t xml:space="preserve">District, </t>
  </si>
  <si>
    <t>Maricopa</t>
  </si>
  <si>
    <t>County for fiscal year 2025 was officially</t>
  </si>
  <si>
    <t>, 2024, and that the complete Revised Expenditure Budget may be reviewed by contacting</t>
  </si>
  <si>
    <t>May, 06</t>
  </si>
  <si>
    <t>, 2024, and that the complete Proposed Expenditure Budget may be reviewed by contacting</t>
  </si>
  <si>
    <t xml:space="preserve">   at the District Office, telephone</t>
  </si>
  <si>
    <t>during normal business hours.</t>
  </si>
  <si>
    <t xml:space="preserve"> SUMMARY OF SCHOOL DISTRICT PROPOSED EXPENDITURE BUDGET</t>
  </si>
  <si>
    <t>President of the Governing Board</t>
  </si>
  <si>
    <t xml:space="preserve"> SUMMARY OF SCHOOL DISTRICT REVISED EXPENDITURE BUDGET</t>
  </si>
  <si>
    <t>1.  Average Daily Membership:</t>
  </si>
  <si>
    <t>Prior Yr.</t>
  </si>
  <si>
    <t>Budget Yr.</t>
  </si>
  <si>
    <t>4. Average Teacher Salaries (A.R.S. §15-903.E)</t>
  </si>
  <si>
    <t>2023 ADM</t>
  </si>
  <si>
    <t>2024 ADM</t>
  </si>
  <si>
    <t>2025 ADM</t>
  </si>
  <si>
    <t>1. Average salary of all teachers employed in FY 2025 (budget year)</t>
  </si>
  <si>
    <t>Attending</t>
  </si>
  <si>
    <t>2. Average salary of all teachers employed in FY 2024 (prior year)</t>
  </si>
  <si>
    <t>3. Increase in average teacher salary from the prior year</t>
  </si>
  <si>
    <t>2.  Tax Rates:</t>
  </si>
  <si>
    <t>Prior FY</t>
  </si>
  <si>
    <t>Est. Budget FY</t>
  </si>
  <si>
    <t xml:space="preserve">4. Percentage increase </t>
  </si>
  <si>
    <r>
      <rPr>
        <rFont val="Times New Roman"/>
        <b/>
        <color rgb="FF000000"/>
        <sz val="8.0"/>
      </rPr>
      <t xml:space="preserve">Primary Rate </t>
    </r>
    <r>
      <rPr>
        <rFont val="Times New Roman"/>
        <b val="0"/>
        <color rgb="FF000000"/>
        <sz val="8.0"/>
      </rPr>
      <t>(equalization formula funding and budget add-ons not required to be in secondary rate)</t>
    </r>
  </si>
  <si>
    <r>
      <rPr>
        <rFont val="Times New Roman"/>
        <b/>
        <color theme="1"/>
        <sz val="8.0"/>
      </rPr>
      <t>Secondary Rate</t>
    </r>
    <r>
      <rPr>
        <rFont val="Times New Roman"/>
        <color theme="1"/>
        <sz val="8.0"/>
      </rPr>
      <t xml:space="preserve"> (voter-approved overrides, bonds, and Career Technical Education Districts, and desegregation, if applicable)</t>
    </r>
  </si>
  <si>
    <t xml:space="preserve">3.  Budgeted expenditures and budget limits  </t>
  </si>
  <si>
    <t>Budgeted</t>
  </si>
  <si>
    <t>Expenditures</t>
  </si>
  <si>
    <t>Budget Limit</t>
  </si>
  <si>
    <t>Maintenance &amp; Operation Fund</t>
  </si>
  <si>
    <t>Classroom Site Fund</t>
  </si>
  <si>
    <t>Unrestricted Capital Outlay Fund</t>
  </si>
  <si>
    <t>MAINTENANCE AND OPERATION EXPENDITURES</t>
  </si>
  <si>
    <t xml:space="preserve"> </t>
  </si>
  <si>
    <t>% Inc./(Decr.)</t>
  </si>
  <si>
    <t>Salaries and Benefits</t>
  </si>
  <si>
    <t>Other</t>
  </si>
  <si>
    <t>TOTAL</t>
  </si>
  <si>
    <t>from</t>
  </si>
  <si>
    <t>Budget FY</t>
  </si>
  <si>
    <t>100 Regular Education</t>
  </si>
  <si>
    <t xml:space="preserve">   1000 Instruction</t>
  </si>
  <si>
    <t xml:space="preserve">   2000 Support Services</t>
  </si>
  <si>
    <t xml:space="preserve">      2100 Students</t>
  </si>
  <si>
    <t xml:space="preserve">      2200 Instructional Staff</t>
  </si>
  <si>
    <t xml:space="preserve">      2300, 2400, 2500 Administration</t>
  </si>
  <si>
    <t xml:space="preserve">      2600 Oper./Maint. of Plant</t>
  </si>
  <si>
    <t xml:space="preserve">      2900 Other </t>
  </si>
  <si>
    <t xml:space="preserve">   3000 Oper. of Noninstructional Services</t>
  </si>
  <si>
    <t>610 School-Sponsored Cocurric. Activities</t>
  </si>
  <si>
    <t>620 School-Sponsored Athletics</t>
  </si>
  <si>
    <t>630, 700, 800, 900 Other Programs</t>
  </si>
  <si>
    <t xml:space="preserve">   Regular Education Subsection Subtotal </t>
  </si>
  <si>
    <t>200 and 300 Special Education</t>
  </si>
  <si>
    <t xml:space="preserve">   Special Education Subsection Subtotal </t>
  </si>
  <si>
    <t>400 Pupil Transportation</t>
  </si>
  <si>
    <t>510 Desegregation</t>
  </si>
  <si>
    <t>530 Dropout Prevention Programs</t>
  </si>
  <si>
    <t>540 Joint Career and Technical Education</t>
  </si>
  <si>
    <t xml:space="preserve">       and Vocational Education Center</t>
  </si>
  <si>
    <t>550 K-3 Reading Program</t>
  </si>
  <si>
    <t xml:space="preserve">   TOTAL EXPENDITURES</t>
  </si>
  <si>
    <t>TOTAL EXPENDITURES BY FUND</t>
  </si>
  <si>
    <t>$ Increase/</t>
  </si>
  <si>
    <t>% Increase/</t>
  </si>
  <si>
    <t>Budgeted Expenditures</t>
  </si>
  <si>
    <t>(Decrease)</t>
  </si>
  <si>
    <t>Fund</t>
  </si>
  <si>
    <t xml:space="preserve"> Prior FY</t>
  </si>
  <si>
    <t>Maintenance &amp; Operation</t>
  </si>
  <si>
    <t>Instructional Improvement</t>
  </si>
  <si>
    <t>English Language Learners</t>
  </si>
  <si>
    <t>Compensatory Instruction</t>
  </si>
  <si>
    <t>Classroom Site</t>
  </si>
  <si>
    <t>Federal Projects</t>
  </si>
  <si>
    <t>State Projects</t>
  </si>
  <si>
    <t>Unrestricted Capital Outlay</t>
  </si>
  <si>
    <t>New School Facilities</t>
  </si>
  <si>
    <t>Adjacent Ways</t>
  </si>
  <si>
    <t>Debt Service</t>
  </si>
  <si>
    <t>School Plant Fund</t>
  </si>
  <si>
    <t>Auxiliary Operations</t>
  </si>
  <si>
    <t>Bond Building</t>
  </si>
  <si>
    <t>Food Service</t>
  </si>
  <si>
    <t>M&amp;O FUND SPECIAL EDUCATION PROGRAMS BY TYPE</t>
  </si>
  <si>
    <r>
      <rPr>
        <rFont val="Times New Roman"/>
        <b/>
        <color rgb="FF000000"/>
        <sz val="8.0"/>
      </rPr>
      <t>Program (A.R.S. §§15-761</t>
    </r>
    <r>
      <rPr>
        <rFont val="Times New Roman"/>
        <b/>
        <color rgb="FF000000"/>
        <sz val="8.0"/>
      </rPr>
      <t xml:space="preserve"> and 15-903)</t>
    </r>
  </si>
  <si>
    <t>Total All Disability Classifications</t>
  </si>
  <si>
    <t>Gifted Education</t>
  </si>
  <si>
    <t>Remedial Education</t>
  </si>
  <si>
    <t>ELL Incremental Costs</t>
  </si>
  <si>
    <t>ELL Compensatory Instruction</t>
  </si>
  <si>
    <t>Vocational and Technical Education (non-CTED)</t>
  </si>
  <si>
    <t>Career Education (non-CTED)</t>
  </si>
  <si>
    <t>Career Technical Education (CTED)</t>
  </si>
  <si>
    <t xml:space="preserve">             TOTAL</t>
  </si>
  <si>
    <t>PROPOSED STAFFING SUMMARY</t>
  </si>
  <si>
    <t>Staff Type</t>
  </si>
  <si>
    <t>Purchased Services Personnel FTE</t>
  </si>
  <si>
    <t>Employee FTE</t>
  </si>
  <si>
    <t>Total FTE</t>
  </si>
  <si>
    <t>Staff-Pupil Ratio</t>
  </si>
  <si>
    <t>Certified --</t>
  </si>
  <si>
    <t>Superintendent, Principals, Other Administrators</t>
  </si>
  <si>
    <t>1  to</t>
  </si>
  <si>
    <t>Teachers</t>
  </si>
  <si>
    <t xml:space="preserve">        Subtotal</t>
  </si>
  <si>
    <t>Classified --</t>
  </si>
  <si>
    <t>Managers, Supervisors, Directors</t>
  </si>
  <si>
    <t>Teachers Aides</t>
  </si>
  <si>
    <t xml:space="preserve">                            TOTAL</t>
  </si>
  <si>
    <t>Special Education --</t>
  </si>
  <si>
    <t>Teacher</t>
  </si>
  <si>
    <t xml:space="preserve">1 to </t>
  </si>
  <si>
    <t>Staff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</si>
</sst>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-409]h:mm\ AM/PM"/>
    <numFmt numFmtId="165" formatCode="#,##0.000_);[Red]\(#,##0.000\)"/>
    <numFmt numFmtId="166" formatCode="#,##0.0000_);[Red]\(#,##0.0000\)"/>
    <numFmt numFmtId="167" formatCode="0.0%"/>
    <numFmt numFmtId="168" formatCode="#,##0.0_);\(#,##0.0\)"/>
  </numFmts>
  <fonts count="22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theme="0"/>
      <name val="Arial"/>
    </font>
    <font/>
    <font>
      <u/>
      <sz val="10.0"/>
      <color rgb="FF0000FF"/>
      <name val="Arial"/>
    </font>
    <font>
      <b/>
      <sz val="8.0"/>
      <color theme="0"/>
      <name val="Times New Roman"/>
    </font>
    <font>
      <b/>
      <sz val="8.0"/>
      <color rgb="FF000000"/>
      <name val="Times New Roman"/>
    </font>
    <font>
      <sz val="8.0"/>
      <color theme="1"/>
      <name val="Times New Roman"/>
    </font>
    <font>
      <sz val="8.0"/>
      <color theme="1"/>
      <name val="Arial"/>
    </font>
    <font>
      <b/>
      <sz val="8.0"/>
      <color theme="1"/>
      <name val="Times New Roman"/>
    </font>
    <font>
      <sz val="8.0"/>
      <color rgb="FF000000"/>
      <name val="Times New Roman"/>
    </font>
    <font>
      <sz val="8.0"/>
      <color theme="0"/>
      <name val="Times New Roman"/>
    </font>
    <font>
      <b/>
      <u/>
      <sz val="8.0"/>
      <color rgb="FF0000FF"/>
      <name val="Times New Roman"/>
    </font>
    <font>
      <b/>
      <sz val="8.0"/>
      <color rgb="FF0000FF"/>
      <name val="Times New Roman"/>
    </font>
    <font>
      <sz val="9.0"/>
      <color theme="1"/>
      <name val="Times New Roman"/>
    </font>
    <font>
      <b/>
      <sz val="9.0"/>
      <color theme="1"/>
      <name val="Times New Roman"/>
    </font>
    <font>
      <b/>
      <sz val="22.0"/>
      <color theme="1"/>
      <name val="Times New Roman"/>
    </font>
    <font>
      <b/>
      <sz val="22.0"/>
      <color rgb="FFFF0000"/>
      <name val="Times New Roman"/>
    </font>
    <font>
      <sz val="12.0"/>
      <color theme="1"/>
      <name val="Arial"/>
    </font>
    <font>
      <b/>
      <vertAlign val="superscript"/>
      <sz val="8.0"/>
      <color rgb="FF000000"/>
      <name val="Times New Roman"/>
    </font>
    <font>
      <b/>
      <sz val="20.0"/>
      <color rgb="FFC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</fills>
  <borders count="60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top/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right/>
      <top/>
    </border>
    <border>
      <left/>
      <bottom style="thin">
        <color rgb="FF000000"/>
      </bottom>
    </border>
    <border>
      <right/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1" fillId="0" fontId="1" numFmtId="49" xfId="0" applyBorder="1" applyFont="1" applyNumberFormat="1"/>
    <xf borderId="0" fillId="0" fontId="1" numFmtId="0" xfId="0" applyFont="1"/>
    <xf borderId="2" fillId="2" fontId="1" numFmtId="49" xfId="0" applyAlignment="1" applyBorder="1" applyFill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1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1" fillId="0" fontId="1" numFmtId="14" xfId="0" applyAlignment="1" applyBorder="1" applyFont="1" applyNumberFormat="1">
      <alignment horizontal="center"/>
    </xf>
    <xf borderId="1" fillId="0" fontId="4" numFmtId="0" xfId="0" applyBorder="1" applyFont="1"/>
    <xf borderId="1" fillId="0" fontId="1" numFmtId="164" xfId="0" applyAlignment="1" applyBorder="1" applyFont="1" applyNumberFormat="1">
      <alignment horizontal="center"/>
    </xf>
    <xf borderId="0" fillId="0" fontId="1" numFmtId="164" xfId="0" applyAlignment="1" applyFont="1" applyNumberForma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left"/>
    </xf>
    <xf borderId="4" fillId="0" fontId="4" numFmtId="0" xfId="0" applyBorder="1" applyFont="1"/>
    <xf borderId="4" fillId="0" fontId="1" numFmtId="0" xfId="0" applyAlignment="1" applyBorder="1" applyFont="1">
      <alignment horizontal="center"/>
    </xf>
    <xf borderId="0" fillId="0" fontId="1" numFmtId="0" xfId="0" applyAlignment="1" applyFont="1">
      <alignment horizontal="left" shrinkToFit="0" vertical="center" wrapText="1"/>
    </xf>
    <xf borderId="4" fillId="0" fontId="5" numFmtId="0" xfId="0" applyAlignment="1" applyBorder="1" applyFont="1">
      <alignment horizontal="center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/>
    </xf>
    <xf borderId="5" fillId="0" fontId="1" numFmtId="0" xfId="0" applyAlignment="1" applyBorder="1" applyFont="1">
      <alignment horizontal="left" shrinkToFit="0" vertical="top" wrapText="1"/>
    </xf>
    <xf borderId="6" fillId="0" fontId="4" numFmtId="0" xfId="0" applyBorder="1" applyFont="1"/>
    <xf borderId="0" fillId="0" fontId="6" numFmtId="0" xfId="0" applyFont="1"/>
    <xf borderId="7" fillId="2" fontId="7" numFmtId="37" xfId="0" applyAlignment="1" applyBorder="1" applyFont="1" applyNumberFormat="1">
      <alignment horizontal="center"/>
    </xf>
    <xf borderId="8" fillId="0" fontId="4" numFmtId="0" xfId="0" applyBorder="1" applyFont="1"/>
    <xf borderId="9" fillId="0" fontId="4" numFmtId="0" xfId="0" applyBorder="1" applyFont="1"/>
    <xf borderId="3" fillId="2" fontId="7" numFmtId="37" xfId="0" applyAlignment="1" applyBorder="1" applyFont="1" applyNumberFormat="1">
      <alignment horizontal="right"/>
    </xf>
    <xf borderId="10" fillId="2" fontId="8" numFmtId="49" xfId="0" applyAlignment="1" applyBorder="1" applyFont="1" applyNumberFormat="1">
      <alignment horizontal="center"/>
    </xf>
    <xf borderId="11" fillId="0" fontId="4" numFmtId="0" xfId="0" applyBorder="1" applyFont="1"/>
    <xf borderId="3" fillId="2" fontId="9" numFmtId="0" xfId="0" applyBorder="1" applyFont="1"/>
    <xf borderId="0" fillId="0" fontId="10" numFmtId="0" xfId="0" applyAlignment="1" applyFont="1">
      <alignment horizontal="right" shrinkToFit="0" wrapText="1"/>
    </xf>
    <xf borderId="1" fillId="0" fontId="8" numFmtId="0" xfId="0" applyAlignment="1" applyBorder="1" applyFont="1">
      <alignment horizontal="center" shrinkToFit="0" wrapText="1"/>
    </xf>
    <xf borderId="3" fillId="2" fontId="10" numFmtId="0" xfId="0" applyAlignment="1" applyBorder="1" applyFont="1">
      <alignment horizontal="left"/>
    </xf>
    <xf borderId="10" fillId="2" fontId="10" numFmtId="0" xfId="0" applyAlignment="1" applyBorder="1" applyFont="1">
      <alignment horizontal="center"/>
    </xf>
    <xf borderId="12" fillId="0" fontId="4" numFmtId="0" xfId="0" applyBorder="1" applyFont="1"/>
    <xf borderId="3" fillId="2" fontId="10" numFmtId="0" xfId="0" applyAlignment="1" applyBorder="1" applyFont="1">
      <alignment horizontal="center"/>
    </xf>
    <xf borderId="1" fillId="0" fontId="10" numFmtId="0" xfId="0" applyAlignment="1" applyBorder="1" applyFont="1">
      <alignment horizontal="center"/>
    </xf>
    <xf borderId="0" fillId="0" fontId="10" numFmtId="0" xfId="0" applyFont="1"/>
    <xf borderId="1" fillId="0" fontId="10" numFmtId="49" xfId="0" applyAlignment="1" applyBorder="1" applyFont="1" applyNumberFormat="1">
      <alignment horizontal="center"/>
    </xf>
    <xf borderId="1" fillId="0" fontId="10" numFmtId="0" xfId="0" applyBorder="1" applyFont="1"/>
    <xf borderId="0" fillId="0" fontId="10" numFmtId="0" xfId="0" applyAlignment="1" applyFont="1">
      <alignment horizontal="left"/>
    </xf>
    <xf borderId="3" fillId="2" fontId="8" numFmtId="0" xfId="0" applyBorder="1" applyFont="1"/>
    <xf borderId="3" fillId="2" fontId="11" numFmtId="37" xfId="0" applyBorder="1" applyFont="1" applyNumberFormat="1"/>
    <xf borderId="10" fillId="2" fontId="8" numFmtId="0" xfId="0" applyAlignment="1" applyBorder="1" applyFont="1">
      <alignment horizontal="center"/>
    </xf>
    <xf borderId="0" fillId="0" fontId="12" numFmtId="0" xfId="0" applyFont="1"/>
    <xf borderId="13" fillId="2" fontId="7" numFmtId="37" xfId="0" applyAlignment="1" applyBorder="1" applyFont="1" applyNumberFormat="1">
      <alignment horizontal="center"/>
    </xf>
    <xf borderId="14" fillId="0" fontId="4" numFmtId="0" xfId="0" applyBorder="1" applyFont="1"/>
    <xf borderId="15" fillId="0" fontId="4" numFmtId="0" xfId="0" applyBorder="1" applyFont="1"/>
    <xf borderId="3" fillId="2" fontId="7" numFmtId="37" xfId="0" applyBorder="1" applyFont="1" applyNumberFormat="1"/>
    <xf borderId="16" fillId="3" fontId="13" numFmtId="0" xfId="0" applyBorder="1" applyFill="1" applyFont="1"/>
    <xf borderId="17" fillId="3" fontId="14" numFmtId="0" xfId="0" applyBorder="1" applyFont="1"/>
    <xf borderId="18" fillId="0" fontId="9" numFmtId="0" xfId="0" applyBorder="1" applyFont="1"/>
    <xf borderId="18" fillId="0" fontId="7" numFmtId="37" xfId="0" applyAlignment="1" applyBorder="1" applyFont="1" applyNumberFormat="1">
      <alignment horizontal="center" vertical="center"/>
    </xf>
    <xf borderId="19" fillId="0" fontId="7" numFmtId="37" xfId="0" applyAlignment="1" applyBorder="1" applyFont="1" applyNumberFormat="1">
      <alignment horizontal="left"/>
    </xf>
    <xf borderId="18" fillId="0" fontId="7" numFmtId="37" xfId="0" applyAlignment="1" applyBorder="1" applyFont="1" applyNumberFormat="1">
      <alignment horizontal="left"/>
    </xf>
    <xf borderId="18" fillId="0" fontId="15" numFmtId="0" xfId="0" applyAlignment="1" applyBorder="1" applyFont="1">
      <alignment horizontal="left"/>
    </xf>
    <xf borderId="18" fillId="0" fontId="15" numFmtId="0" xfId="0" applyBorder="1" applyFont="1"/>
    <xf borderId="20" fillId="0" fontId="16" numFmtId="37" xfId="0" applyAlignment="1" applyBorder="1" applyFont="1" applyNumberFormat="1">
      <alignment shrinkToFit="0" vertical="top" wrapText="1"/>
    </xf>
    <xf borderId="21" fillId="2" fontId="7" numFmtId="37" xfId="0" applyBorder="1" applyFont="1" applyNumberFormat="1"/>
    <xf borderId="0" fillId="0" fontId="10" numFmtId="0" xfId="0" applyAlignment="1" applyFont="1">
      <alignment horizontal="center" vertical="top"/>
    </xf>
    <xf borderId="22" fillId="0" fontId="8" numFmtId="37" xfId="0" applyAlignment="1" applyBorder="1" applyFont="1" applyNumberFormat="1">
      <alignment horizontal="left"/>
    </xf>
    <xf borderId="0" fillId="0" fontId="11" numFmtId="37" xfId="0" applyAlignment="1" applyFont="1" applyNumberFormat="1">
      <alignment horizontal="left"/>
    </xf>
    <xf borderId="0" fillId="0" fontId="9" numFmtId="0" xfId="0" applyFont="1"/>
    <xf borderId="0" fillId="0" fontId="8" numFmtId="0" xfId="0" applyAlignment="1" applyFont="1">
      <alignment horizontal="right"/>
    </xf>
    <xf borderId="1" fillId="0" fontId="8" numFmtId="38" xfId="0" applyBorder="1" applyFont="1" applyNumberFormat="1"/>
    <xf borderId="23" fillId="0" fontId="4" numFmtId="0" xfId="0" applyBorder="1" applyFont="1"/>
    <xf borderId="24" fillId="2" fontId="7" numFmtId="37" xfId="0" applyAlignment="1" applyBorder="1" applyFont="1" applyNumberFormat="1">
      <alignment horizontal="center" vertical="center"/>
    </xf>
    <xf borderId="25" fillId="2" fontId="7" numFmtId="37" xfId="0" applyAlignment="1" applyBorder="1" applyFont="1" applyNumberFormat="1">
      <alignment horizontal="center" vertical="center"/>
    </xf>
    <xf borderId="26" fillId="0" fontId="11" numFmtId="165" xfId="0" applyBorder="1" applyFont="1" applyNumberFormat="1"/>
    <xf borderId="16" fillId="2" fontId="8" numFmtId="0" xfId="0" applyBorder="1" applyFont="1"/>
    <xf borderId="4" fillId="0" fontId="8" numFmtId="38" xfId="0" applyBorder="1" applyFont="1" applyNumberFormat="1"/>
    <xf borderId="27" fillId="0" fontId="4" numFmtId="0" xfId="0" applyBorder="1" applyFont="1"/>
    <xf borderId="28" fillId="2" fontId="7" numFmtId="37" xfId="0" applyAlignment="1" applyBorder="1" applyFont="1" applyNumberFormat="1">
      <alignment horizontal="center" vertical="center"/>
    </xf>
    <xf borderId="29" fillId="0" fontId="8" numFmtId="165" xfId="0" applyBorder="1" applyFont="1" applyNumberFormat="1"/>
    <xf borderId="30" fillId="0" fontId="8" numFmtId="165" xfId="0" applyBorder="1" applyFont="1" applyNumberFormat="1"/>
    <xf borderId="22" fillId="0" fontId="11" numFmtId="37" xfId="0" applyAlignment="1" applyBorder="1" applyFont="1" applyNumberFormat="1">
      <alignment horizontal="left"/>
    </xf>
    <xf borderId="4" fillId="0" fontId="8" numFmtId="37" xfId="0" applyBorder="1" applyFont="1" applyNumberFormat="1"/>
    <xf borderId="16" fillId="2" fontId="7" numFmtId="37" xfId="0" applyBorder="1" applyFont="1" applyNumberFormat="1"/>
    <xf borderId="17" fillId="2" fontId="7" numFmtId="37" xfId="0" applyBorder="1" applyFont="1" applyNumberFormat="1"/>
    <xf borderId="17" fillId="2" fontId="10" numFmtId="0" xfId="0" applyAlignment="1" applyBorder="1" applyFont="1">
      <alignment horizontal="center"/>
    </xf>
    <xf borderId="4" fillId="0" fontId="8" numFmtId="9" xfId="0" applyBorder="1" applyFont="1" applyNumberFormat="1"/>
    <xf borderId="31" fillId="2" fontId="7" numFmtId="37" xfId="0" applyAlignment="1" applyBorder="1" applyFont="1" applyNumberFormat="1">
      <alignment horizontal="left" shrinkToFit="0" vertical="center" wrapText="1"/>
    </xf>
    <xf borderId="32" fillId="0" fontId="4" numFmtId="0" xfId="0" applyBorder="1" applyFont="1"/>
    <xf borderId="33" fillId="0" fontId="4" numFmtId="0" xfId="0" applyBorder="1" applyFont="1"/>
    <xf borderId="26" fillId="2" fontId="11" numFmtId="166" xfId="0" applyBorder="1" applyFont="1" applyNumberFormat="1"/>
    <xf borderId="0" fillId="0" fontId="8" numFmtId="0" xfId="0" applyAlignment="1" applyFont="1">
      <alignment horizontal="left"/>
    </xf>
    <xf borderId="0" fillId="0" fontId="8" numFmtId="0" xfId="0" applyFont="1"/>
    <xf borderId="34" fillId="0" fontId="8" numFmtId="0" xfId="0" applyBorder="1" applyFont="1"/>
    <xf borderId="22" fillId="0" fontId="4" numFmtId="0" xfId="0" applyBorder="1" applyFont="1"/>
    <xf borderId="34" fillId="0" fontId="4" numFmtId="0" xfId="0" applyBorder="1" applyFont="1"/>
    <xf borderId="35" fillId="0" fontId="4" numFmtId="0" xfId="0" applyBorder="1" applyFont="1"/>
    <xf borderId="19" fillId="0" fontId="8" numFmtId="0" xfId="0" applyAlignment="1" applyBorder="1" applyFont="1">
      <alignment horizontal="left" shrinkToFit="0" vertical="top" wrapText="1"/>
    </xf>
    <xf borderId="18" fillId="0" fontId="4" numFmtId="0" xfId="0" applyBorder="1" applyFont="1"/>
    <xf borderId="20" fillId="0" fontId="4" numFmtId="0" xfId="0" applyBorder="1" applyFont="1"/>
    <xf borderId="0" fillId="0" fontId="17" numFmtId="37" xfId="0" applyAlignment="1" applyFont="1" applyNumberFormat="1">
      <alignment shrinkToFit="0" vertical="top" wrapText="1"/>
    </xf>
    <xf borderId="0" fillId="0" fontId="18" numFmtId="37" xfId="0" applyAlignment="1" applyFont="1" applyNumberFormat="1">
      <alignment shrinkToFit="0" vertical="top" wrapText="1"/>
    </xf>
    <xf borderId="36" fillId="0" fontId="4" numFmtId="0" xfId="0" applyBorder="1" applyFont="1"/>
    <xf borderId="37" fillId="0" fontId="4" numFmtId="0" xfId="0" applyBorder="1" applyFont="1"/>
    <xf borderId="38" fillId="0" fontId="4" numFmtId="0" xfId="0" applyBorder="1" applyFont="1"/>
    <xf borderId="29" fillId="0" fontId="4" numFmtId="0" xfId="0" applyBorder="1" applyFont="1"/>
    <xf borderId="0" fillId="0" fontId="7" numFmtId="37" xfId="0" applyAlignment="1" applyFont="1" applyNumberFormat="1">
      <alignment horizontal="left"/>
    </xf>
    <xf borderId="0" fillId="0" fontId="15" numFmtId="0" xfId="0" applyAlignment="1" applyFont="1">
      <alignment horizontal="left"/>
    </xf>
    <xf borderId="0" fillId="0" fontId="15" numFmtId="0" xfId="0" applyFont="1"/>
    <xf borderId="31" fillId="2" fontId="8" numFmtId="0" xfId="0" applyAlignment="1" applyBorder="1" applyFont="1">
      <alignment horizontal="left" shrinkToFit="0" wrapText="1"/>
    </xf>
    <xf borderId="0" fillId="0" fontId="8" numFmtId="38" xfId="0" applyFont="1" applyNumberFormat="1"/>
    <xf borderId="30" fillId="0" fontId="4" numFmtId="0" xfId="0" applyBorder="1" applyFont="1"/>
    <xf borderId="16" fillId="2" fontId="7" numFmtId="37" xfId="0" applyAlignment="1" applyBorder="1" applyFont="1" applyNumberFormat="1">
      <alignment horizontal="left"/>
    </xf>
    <xf borderId="3" fillId="2" fontId="7" numFmtId="37" xfId="0" applyAlignment="1" applyBorder="1" applyFont="1" applyNumberFormat="1">
      <alignment horizontal="left"/>
    </xf>
    <xf borderId="39" fillId="2" fontId="10" numFmtId="0" xfId="0" applyAlignment="1" applyBorder="1" applyFont="1">
      <alignment horizontal="center"/>
    </xf>
    <xf borderId="0" fillId="0" fontId="8" numFmtId="9" xfId="0" applyFont="1" applyNumberFormat="1"/>
    <xf borderId="22" fillId="0" fontId="1" numFmtId="0" xfId="0" applyBorder="1" applyFont="1"/>
    <xf borderId="28" fillId="2" fontId="10" numFmtId="0" xfId="0" applyAlignment="1" applyBorder="1" applyFont="1">
      <alignment horizontal="center"/>
    </xf>
    <xf borderId="21" fillId="2" fontId="7" numFmtId="37" xfId="0" applyAlignment="1" applyBorder="1" applyFont="1" applyNumberFormat="1">
      <alignment horizontal="left"/>
    </xf>
    <xf borderId="16" fillId="2" fontId="11" numFmtId="37" xfId="0" applyBorder="1" applyFont="1" applyNumberFormat="1"/>
    <xf borderId="40" fillId="2" fontId="11" numFmtId="37" xfId="0" applyBorder="1" applyFont="1" applyNumberFormat="1"/>
    <xf borderId="41" fillId="2" fontId="8" numFmtId="37" xfId="0" applyBorder="1" applyFont="1" applyNumberFormat="1"/>
    <xf borderId="42" fillId="2" fontId="7" numFmtId="37" xfId="0" applyAlignment="1" applyBorder="1" applyFont="1" applyNumberFormat="1">
      <alignment horizontal="left"/>
    </xf>
    <xf borderId="2" fillId="2" fontId="7" numFmtId="37" xfId="0" applyAlignment="1" applyBorder="1" applyFont="1" applyNumberFormat="1">
      <alignment horizontal="left"/>
    </xf>
    <xf borderId="1" fillId="0" fontId="1" numFmtId="0" xfId="0" applyBorder="1" applyFont="1"/>
    <xf borderId="41" fillId="2" fontId="11" numFmtId="37" xfId="0" applyBorder="1" applyFont="1" applyNumberFormat="1"/>
    <xf borderId="43" fillId="2" fontId="11" numFmtId="37" xfId="0" applyBorder="1" applyFont="1" applyNumberFormat="1"/>
    <xf borderId="0" fillId="0" fontId="19" numFmtId="0" xfId="0" applyAlignment="1" applyFont="1">
      <alignment horizontal="left" shrinkToFit="0" vertical="center" wrapText="1"/>
    </xf>
    <xf borderId="44" fillId="2" fontId="20" numFmtId="37" xfId="0" applyAlignment="1" applyBorder="1" applyFont="1" applyNumberFormat="1">
      <alignment horizontal="left" vertical="center"/>
    </xf>
    <xf borderId="45" fillId="0" fontId="4" numFmtId="0" xfId="0" applyBorder="1" applyFont="1"/>
    <xf borderId="1" fillId="0" fontId="19" numFmtId="0" xfId="0" applyAlignment="1" applyBorder="1" applyFont="1">
      <alignment horizontal="left" shrinkToFit="0" vertical="center" wrapText="1"/>
    </xf>
    <xf borderId="46" fillId="0" fontId="4" numFmtId="0" xfId="0" applyBorder="1" applyFont="1"/>
    <xf borderId="47" fillId="0" fontId="4" numFmtId="0" xfId="0" applyBorder="1" applyFont="1"/>
    <xf borderId="5" fillId="2" fontId="7" numFmtId="37" xfId="0" applyAlignment="1" applyBorder="1" applyFont="1" applyNumberFormat="1">
      <alignment horizontal="center"/>
    </xf>
    <xf borderId="25" fillId="2" fontId="7" numFmtId="37" xfId="0" applyBorder="1" applyFont="1" applyNumberFormat="1"/>
    <xf borderId="39" fillId="2" fontId="7" numFmtId="37" xfId="0" applyBorder="1" applyFont="1" applyNumberFormat="1"/>
    <xf borderId="39" fillId="2" fontId="7" numFmtId="37" xfId="0" applyAlignment="1" applyBorder="1" applyFont="1" applyNumberFormat="1">
      <alignment horizontal="center"/>
    </xf>
    <xf borderId="48" fillId="2" fontId="7" numFmtId="37" xfId="0" applyAlignment="1" applyBorder="1" applyFont="1" applyNumberFormat="1">
      <alignment horizontal="center"/>
    </xf>
    <xf borderId="49" fillId="0" fontId="4" numFmtId="0" xfId="0" applyBorder="1" applyFont="1"/>
    <xf borderId="50" fillId="2" fontId="7" numFmtId="37" xfId="0" applyAlignment="1" applyBorder="1" applyFont="1" applyNumberFormat="1">
      <alignment horizontal="center"/>
    </xf>
    <xf borderId="51" fillId="0" fontId="4" numFmtId="0" xfId="0" applyBorder="1" applyFont="1"/>
    <xf borderId="52" fillId="2" fontId="7" numFmtId="37" xfId="0" applyAlignment="1" applyBorder="1" applyFont="1" applyNumberFormat="1">
      <alignment horizontal="center"/>
    </xf>
    <xf borderId="53" fillId="0" fontId="4" numFmtId="0" xfId="0" applyBorder="1" applyFont="1"/>
    <xf borderId="40" fillId="2" fontId="7" numFmtId="37" xfId="0" applyAlignment="1" applyBorder="1" applyFont="1" applyNumberFormat="1">
      <alignment horizontal="center"/>
    </xf>
    <xf borderId="54" fillId="2" fontId="7" numFmtId="37" xfId="0" applyBorder="1" applyFont="1" applyNumberFormat="1"/>
    <xf borderId="50" fillId="2" fontId="7" numFmtId="37" xfId="0" applyBorder="1" applyFont="1" applyNumberFormat="1"/>
    <xf borderId="21" fillId="2" fontId="10" numFmtId="0" xfId="0" applyBorder="1" applyFont="1"/>
    <xf borderId="3" fillId="2" fontId="10" numFmtId="0" xfId="0" applyBorder="1" applyFont="1"/>
    <xf borderId="26" fillId="0" fontId="11" numFmtId="37" xfId="0" applyBorder="1" applyFont="1" applyNumberFormat="1"/>
    <xf borderId="19" fillId="0" fontId="11" numFmtId="37" xfId="0" applyBorder="1" applyFont="1" applyNumberFormat="1"/>
    <xf borderId="26" fillId="2" fontId="11" numFmtId="37" xfId="0" applyBorder="1" applyFont="1" applyNumberFormat="1"/>
    <xf borderId="19" fillId="2" fontId="11" numFmtId="167" xfId="0" applyAlignment="1" applyBorder="1" applyFont="1" applyNumberFormat="1">
      <alignment horizontal="right"/>
    </xf>
    <xf borderId="22" fillId="0" fontId="10" numFmtId="0" xfId="0" applyBorder="1" applyFont="1"/>
    <xf borderId="43" fillId="0" fontId="11" numFmtId="37" xfId="0" applyBorder="1" applyFont="1" applyNumberFormat="1"/>
    <xf borderId="29" fillId="0" fontId="11" numFmtId="37" xfId="0" applyBorder="1" applyFont="1" applyNumberFormat="1"/>
    <xf borderId="5" fillId="0" fontId="11" numFmtId="37" xfId="0" applyBorder="1" applyFont="1" applyNumberFormat="1"/>
    <xf borderId="54" fillId="2" fontId="11" numFmtId="37" xfId="0" applyBorder="1" applyFont="1" applyNumberFormat="1"/>
    <xf borderId="5" fillId="2" fontId="11" numFmtId="167" xfId="0" applyAlignment="1" applyBorder="1" applyFont="1" applyNumberFormat="1">
      <alignment horizontal="right"/>
    </xf>
    <xf borderId="0" fillId="0" fontId="7" numFmtId="37" xfId="0" applyFont="1" applyNumberFormat="1"/>
    <xf borderId="21" fillId="2" fontId="10" numFmtId="0" xfId="0" applyAlignment="1" applyBorder="1" applyFont="1">
      <alignment horizontal="left"/>
    </xf>
    <xf borderId="43" fillId="0" fontId="8" numFmtId="37" xfId="0" applyBorder="1" applyFont="1" applyNumberFormat="1"/>
    <xf borderId="5" fillId="0" fontId="8" numFmtId="37" xfId="0" applyBorder="1" applyFont="1" applyNumberFormat="1"/>
    <xf borderId="43" fillId="2" fontId="8" numFmtId="37" xfId="0" applyBorder="1" applyFont="1" applyNumberFormat="1"/>
    <xf borderId="5" fillId="0" fontId="11" numFmtId="167" xfId="0" applyAlignment="1" applyBorder="1" applyFont="1" applyNumberFormat="1">
      <alignment horizontal="right"/>
    </xf>
    <xf borderId="34" fillId="0" fontId="1" numFmtId="0" xfId="0" applyBorder="1" applyFont="1"/>
    <xf borderId="26" fillId="0" fontId="8" numFmtId="37" xfId="0" applyBorder="1" applyFont="1" applyNumberFormat="1"/>
    <xf borderId="29" fillId="0" fontId="8" numFmtId="37" xfId="0" applyBorder="1" applyFont="1" applyNumberFormat="1"/>
    <xf borderId="5" fillId="2" fontId="11" numFmtId="37" xfId="0" applyBorder="1" applyFont="1" applyNumberFormat="1"/>
    <xf borderId="28" fillId="2" fontId="8" numFmtId="0" xfId="0" applyBorder="1" applyFont="1"/>
    <xf borderId="5" fillId="2" fontId="8" numFmtId="37" xfId="0" applyBorder="1" applyFont="1" applyNumberFormat="1"/>
    <xf borderId="3" fillId="2" fontId="8" numFmtId="37" xfId="0" applyBorder="1" applyFont="1" applyNumberFormat="1"/>
    <xf borderId="17" fillId="2" fontId="11" numFmtId="167" xfId="0" applyAlignment="1" applyBorder="1" applyFont="1" applyNumberFormat="1">
      <alignment horizontal="right"/>
    </xf>
    <xf borderId="5" fillId="2" fontId="10" numFmtId="0" xfId="0" applyAlignment="1" applyBorder="1" applyFont="1">
      <alignment horizontal="center"/>
    </xf>
    <xf borderId="3" fillId="2" fontId="11" numFmtId="37" xfId="0" applyAlignment="1" applyBorder="1" applyFont="1" applyNumberFormat="1">
      <alignment horizontal="center"/>
    </xf>
    <xf borderId="21" fillId="2" fontId="7" numFmtId="37" xfId="0" applyAlignment="1" applyBorder="1" applyFont="1" applyNumberFormat="1">
      <alignment horizontal="center"/>
    </xf>
    <xf borderId="25" fillId="2" fontId="7" numFmtId="37" xfId="0" applyAlignment="1" applyBorder="1" applyFont="1" applyNumberFormat="1">
      <alignment horizontal="center"/>
    </xf>
    <xf borderId="0" fillId="0" fontId="21" numFmtId="0" xfId="0" applyAlignment="1" applyFont="1">
      <alignment horizontal="center" shrinkToFit="0" vertical="center" wrapText="1"/>
    </xf>
    <xf borderId="16" fillId="2" fontId="7" numFmtId="37" xfId="0" applyAlignment="1" applyBorder="1" applyFont="1" applyNumberFormat="1">
      <alignment horizontal="center"/>
    </xf>
    <xf borderId="42" fillId="2" fontId="7" numFmtId="37" xfId="0" applyBorder="1" applyFont="1" applyNumberFormat="1"/>
    <xf borderId="2" fillId="2" fontId="7" numFmtId="37" xfId="0" applyBorder="1" applyFont="1" applyNumberFormat="1"/>
    <xf borderId="42" fillId="2" fontId="7" numFmtId="37" xfId="0" applyAlignment="1" applyBorder="1" applyFont="1" applyNumberFormat="1">
      <alignment horizontal="center"/>
    </xf>
    <xf borderId="54" fillId="2" fontId="7" numFmtId="37" xfId="0" applyAlignment="1" applyBorder="1" applyFont="1" applyNumberFormat="1">
      <alignment horizontal="center"/>
    </xf>
    <xf borderId="20" fillId="0" fontId="11" numFmtId="37" xfId="0" applyBorder="1" applyFont="1" applyNumberFormat="1"/>
    <xf borderId="5" fillId="0" fontId="11" numFmtId="167" xfId="0" applyBorder="1" applyFont="1" applyNumberFormat="1"/>
    <xf borderId="22" fillId="0" fontId="11" numFmtId="37" xfId="0" applyBorder="1" applyFont="1" applyNumberFormat="1"/>
    <xf borderId="0" fillId="0" fontId="11" numFmtId="37" xfId="0" applyFont="1" applyNumberFormat="1"/>
    <xf borderId="5" fillId="2" fontId="11" numFmtId="167" xfId="0" applyBorder="1" applyFont="1" applyNumberFormat="1"/>
    <xf borderId="22" fillId="0" fontId="8" numFmtId="0" xfId="0" applyBorder="1" applyFont="1"/>
    <xf borderId="21" fillId="2" fontId="11" numFmtId="37" xfId="0" applyBorder="1" applyFont="1" applyNumberFormat="1"/>
    <xf borderId="25" fillId="2" fontId="11" numFmtId="37" xfId="0" applyBorder="1" applyFont="1" applyNumberFormat="1"/>
    <xf borderId="42" fillId="2" fontId="11" numFmtId="37" xfId="0" applyBorder="1" applyFont="1" applyNumberFormat="1"/>
    <xf borderId="21" fillId="2" fontId="11" numFmtId="38" xfId="0" applyBorder="1" applyFont="1" applyNumberFormat="1"/>
    <xf borderId="25" fillId="2" fontId="11" numFmtId="38" xfId="0" applyBorder="1" applyFont="1" applyNumberFormat="1"/>
    <xf borderId="30" fillId="0" fontId="11" numFmtId="37" xfId="0" applyBorder="1" applyFont="1" applyNumberFormat="1"/>
    <xf borderId="23" fillId="0" fontId="11" numFmtId="37" xfId="0" applyBorder="1" applyFont="1" applyNumberFormat="1"/>
    <xf borderId="18" fillId="0" fontId="11" numFmtId="37" xfId="0" applyAlignment="1" applyBorder="1" applyFont="1" applyNumberFormat="1">
      <alignment horizontal="left"/>
    </xf>
    <xf borderId="20" fillId="0" fontId="1" numFmtId="0" xfId="0" applyBorder="1" applyFont="1"/>
    <xf borderId="55" fillId="0" fontId="11" numFmtId="37" xfId="0" applyBorder="1" applyFont="1" applyNumberFormat="1"/>
    <xf borderId="56" fillId="0" fontId="11" numFmtId="37" xfId="0" applyBorder="1" applyFont="1" applyNumberFormat="1"/>
    <xf borderId="42" fillId="2" fontId="11" numFmtId="37" xfId="0" applyAlignment="1" applyBorder="1" applyFont="1" applyNumberFormat="1">
      <alignment horizontal="left"/>
    </xf>
    <xf borderId="2" fillId="2" fontId="11" numFmtId="37" xfId="0" applyAlignment="1" applyBorder="1" applyFont="1" applyNumberFormat="1">
      <alignment horizontal="left"/>
    </xf>
    <xf borderId="23" fillId="0" fontId="1" numFmtId="0" xfId="0" applyBorder="1" applyFont="1"/>
    <xf borderId="57" fillId="0" fontId="11" numFmtId="37" xfId="0" applyBorder="1" applyFont="1" applyNumberFormat="1"/>
    <xf borderId="43" fillId="0" fontId="7" numFmtId="37" xfId="0" applyAlignment="1" applyBorder="1" applyFont="1" applyNumberFormat="1">
      <alignment horizontal="center" shrinkToFit="0" wrapText="1"/>
    </xf>
    <xf borderId="43" fillId="0" fontId="7" numFmtId="37" xfId="0" applyAlignment="1" applyBorder="1" applyFont="1" applyNumberFormat="1">
      <alignment horizontal="center"/>
    </xf>
    <xf borderId="5" fillId="0" fontId="7" numFmtId="37" xfId="0" applyAlignment="1" applyBorder="1" applyFont="1" applyNumberFormat="1">
      <alignment horizontal="center"/>
    </xf>
    <xf borderId="2" fillId="2" fontId="11" numFmtId="37" xfId="0" applyBorder="1" applyFont="1" applyNumberFormat="1"/>
    <xf borderId="28" fillId="2" fontId="11" numFmtId="37" xfId="0" applyBorder="1" applyFont="1" applyNumberFormat="1"/>
    <xf borderId="43" fillId="0" fontId="8" numFmtId="0" xfId="0" applyBorder="1" applyFont="1"/>
    <xf borderId="5" fillId="2" fontId="11" numFmtId="37" xfId="0" applyAlignment="1" applyBorder="1" applyFont="1" applyNumberFormat="1">
      <alignment horizontal="right"/>
    </xf>
    <xf borderId="41" fillId="2" fontId="11" numFmtId="37" xfId="0" applyAlignment="1" applyBorder="1" applyFont="1" applyNumberFormat="1">
      <alignment horizontal="right"/>
    </xf>
    <xf borderId="23" fillId="0" fontId="11" numFmtId="168" xfId="0" applyAlignment="1" applyBorder="1" applyFont="1" applyNumberFormat="1">
      <alignment horizontal="center"/>
    </xf>
    <xf borderId="2" fillId="2" fontId="11" numFmtId="37" xfId="0" applyAlignment="1" applyBorder="1" applyFont="1" applyNumberFormat="1">
      <alignment horizontal="right"/>
    </xf>
    <xf borderId="21" fillId="2" fontId="11" numFmtId="37" xfId="0" applyAlignment="1" applyBorder="1" applyFont="1" applyNumberFormat="1">
      <alignment horizontal="left"/>
    </xf>
    <xf borderId="3" fillId="2" fontId="11" numFmtId="37" xfId="0" applyAlignment="1" applyBorder="1" applyFont="1" applyNumberFormat="1">
      <alignment horizontal="right"/>
    </xf>
    <xf borderId="58" fillId="2" fontId="11" numFmtId="37" xfId="0" applyAlignment="1" applyBorder="1" applyFont="1" applyNumberFormat="1">
      <alignment horizontal="right"/>
    </xf>
    <xf borderId="3" fillId="2" fontId="8" numFmtId="0" xfId="0" applyAlignment="1" applyBorder="1" applyFont="1">
      <alignment horizontal="right"/>
    </xf>
    <xf borderId="25" fillId="2" fontId="8" numFmtId="0" xfId="0" applyAlignment="1" applyBorder="1" applyFont="1">
      <alignment horizontal="center"/>
    </xf>
    <xf borderId="28" fillId="2" fontId="8" numFmtId="0" xfId="0" applyAlignment="1" applyBorder="1" applyFont="1">
      <alignment horizontal="center"/>
    </xf>
    <xf borderId="41" fillId="2" fontId="8" numFmtId="0" xfId="0" applyAlignment="1" applyBorder="1" applyFont="1">
      <alignment horizontal="right"/>
    </xf>
    <xf borderId="59" fillId="2" fontId="11" numFmtId="168" xfId="0" applyAlignment="1" applyBorder="1" applyFont="1" applyNumberFormat="1">
      <alignment horizontal="center"/>
    </xf>
    <xf borderId="2" fillId="2" fontId="8" numFmtId="0" xfId="0" applyBorder="1" applyFont="1"/>
    <xf borderId="28" fillId="2" fontId="11" numFmtId="168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2025EXPBUDR2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ver"/>
      <sheetName val="District Contacts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upplement"/>
      <sheetName val="Summary Page 1"/>
      <sheetName val="Summary Page 2"/>
      <sheetName val="Truth in Tax"/>
      <sheetName val="Fund balances"/>
      <sheetName val="Data Entry"/>
      <sheetName val="Calculations"/>
      <sheetName val="BSA55"/>
      <sheetName val="Instructions"/>
      <sheetName val="2025EXPBUDR2"/>
    </sheetNames>
    <definedNames>
      <definedName refersTo="='Summary Page 1'!$D$12" name="BudgetYearADM"/>
      <definedName refersTo="='Summary Page 1'!$I$10" name="BudgetYearSalarySumm"/>
      <definedName refersTo="='Summary Page 2'!$D$38" name="ContractFTEAdmin"/>
      <definedName refersTo="='Summary Page 2'!$D$40" name="ContractFTECertOther"/>
      <definedName refersTo="='Summary Page 2'!$D$41" name="ContractFTECertSubtotal"/>
      <definedName refersTo="='Summary Page 2'!$D$45" name="ContractFTEClassOther"/>
      <definedName refersTo="='Summary Page 2'!$D$46" name="ContractFTEClassSubtotal"/>
      <definedName refersTo="='Summary Page 2'!$D$43" name="ContractFTEManagers"/>
      <definedName refersTo="='Summary Page 2'!$D$51" name="ContractFTESpecEdStaff"/>
      <definedName refersTo="='Summary Page 2'!$D$50" name="ContractFTESpecEdTeacher"/>
      <definedName refersTo="='Summary Page 2'!$D$39" name="ContractFTETeachers"/>
      <definedName refersTo="='Summary Page 2'!$D$44" name="ContractFTETeachersAids"/>
      <definedName refersTo="='Summary Page 2'!$D$47" name="ContractFTETotal"/>
      <definedName refersTo="='Summary Page 1'!$D$23" name="CSFBLBudgFYSumm"/>
      <definedName refersTo="='Summary Page 1'!$C$23" name="CSFExpBudgFYSumm"/>
      <definedName refersTo="='Summary Page 2'!$E$38" name="EmployeeFTEAdmin"/>
      <definedName refersTo="='Summary Page 2'!$E$40" name="EmployeeFTECertOther"/>
      <definedName refersTo="='Summary Page 2'!$E$41" name="EmployeeFTECertSubtotal"/>
      <definedName refersTo="='Summary Page 2'!$E$45" name="EmployeeFTEClassOther"/>
      <definedName refersTo="='Summary Page 2'!$E$46" name="EmployeeFTEClassSubtotal"/>
      <definedName refersTo="='Summary Page 2'!$E$43" name="EmployeeFTEManagers"/>
      <definedName refersTo="='Summary Page 2'!$E$51" name="EmployeeFTESpecEdStaff"/>
      <definedName refersTo="='Summary Page 2'!$E$50" name="EmployeeFTESpecEdTeacher"/>
      <definedName refersTo="='Summary Page 2'!$E$39" name="EmployeeFTETeachers"/>
      <definedName refersTo="='Summary Page 2'!$E$44" name="EmployeeFTETeachersAides"/>
      <definedName refersTo="='Summary Page 2'!$E$47" name="EmployeeFTETotal"/>
      <definedName refersTo="='Summary Page 1'!$D$16" name="EstTaxRateBudgFYSumm"/>
      <definedName refersTo="='Summary Page 1'!$F$33" name="F001P100F1000OthBudgFY"/>
      <definedName refersTo="='Summary Page 1'!$D$33" name="F001P100F1000SBBudgFY"/>
      <definedName refersTo="='Summary Page 1'!$F$35" name="F001P100F2100OthBudgFY"/>
      <definedName refersTo="='Summary Page 1'!$D$35" name="F001P100F2100SBBudgFY"/>
      <definedName refersTo="='Summary Page 1'!$F$36" name="F001P100F2200OthBudgFY"/>
      <definedName refersTo="='Summary Page 1'!$D$36" name="F001P100F2200SBBudgFY"/>
      <definedName refersTo="='Summary Page 1'!$F$37" name="F001P100F230024002500OthBudgFY"/>
      <definedName refersTo="='Summary Page 1'!$D$37" name="F001P100F230024002500SBBudgFY"/>
      <definedName refersTo="='Summary Page 1'!$F$38" name="F001P100F2600OthBudgFY"/>
      <definedName refersTo="='Summary Page 1'!$D$38" name="F001P100F2600SBBudgFY"/>
      <definedName refersTo="='Summary Page 1'!$F$39" name="F001P100F2900OthBudgFY"/>
      <definedName refersTo="='Summary Page 1'!$D$39" name="F001P100F2900SBBudgFY"/>
      <definedName refersTo="='Summary Page 1'!$F$40" name="F001P100F3000OthBudgFY"/>
      <definedName refersTo="='Summary Page 1'!$D$40" name="F001P100F3000SBBudgFY"/>
      <definedName refersTo="='Summary Page 1'!$F$46" name="F001P200F1000OthBudgFY"/>
      <definedName refersTo="='Summary Page 1'!$D$46" name="F001P200F1000SBBudgFY"/>
      <definedName refersTo="='Summary Page 1'!$F$48" name="F001P200F2100OthBudgFY"/>
      <definedName refersTo="='Summary Page 1'!$D$48" name="F001P200F2100SBBudgFY"/>
      <definedName refersTo="='Summary Page 1'!$F$49" name="F001P200F2200OthBudgFY"/>
      <definedName refersTo="='Summary Page 1'!$D$49" name="F001P200F2200SBBudgFY"/>
      <definedName refersTo="='Summary Page 1'!$F$50" name="F001P200F230024002500OthBudgFY"/>
      <definedName refersTo="='Summary Page 1'!$D$50" name="F001P200F230024002500SBBudgFY"/>
      <definedName refersTo="='Summary Page 1'!$F$51" name="F001P200F2600OthBudgFY"/>
      <definedName refersTo="='Summary Page 1'!$D$51" name="F001P200F2600SBBudgFY"/>
      <definedName refersTo="='Summary Page 1'!$F$52" name="F001P200F2900OthBudgFY"/>
      <definedName refersTo="='Summary Page 1'!$D$52" name="F001P200F2900SBBudgFY"/>
      <definedName refersTo="='Summary Page 1'!$F$53" name="F001P200F3000OthBudgFY"/>
      <definedName refersTo="='Summary Page 1'!$D$53" name="F001P200F3000SBBudgFY"/>
      <definedName refersTo="='Summary Page 1'!$F$55" name="F001P400OthBudgFy"/>
      <definedName refersTo="='Summary Page 1'!$D$55" name="F001P400SBBudgFY"/>
      <definedName refersTo="='Summary Page 1'!$F$56" name="F001P510OthBudgFY"/>
      <definedName refersTo="='Summary Page 1'!$D$56" name="F001P510SBBudgFY"/>
      <definedName refersTo="='Summary Page 1'!$F$57" name="F001P530OthBudgFY"/>
      <definedName refersTo="='Summary Page 1'!$D$57" name="F001P530SBBudgFY"/>
      <definedName refersTo="='Summary Page 1'!$F$59" name="F001P540OthBudgFY"/>
      <definedName refersTo="='Summary Page 1'!$D$59" name="F001P540SBBudgFY"/>
      <definedName refersTo="='Summary Page 1'!$F$60" name="F001P550OthBudgFY"/>
      <definedName refersTo="='Summary Page 1'!$D$60" name="F001P550SBBudgFY"/>
      <definedName refersTo="='Summary Page 1'!$F$41" name="F001P610OthBudgFY"/>
      <definedName refersTo="='Summary Page 1'!$D$41" name="F001P610SBBudgFY"/>
      <definedName refersTo="='Summary Page 1'!$F$42" name="F001P620OthBudgFY"/>
      <definedName refersTo="='Summary Page 1'!$D$42" name="F001P620SBBudgFY"/>
      <definedName refersTo="='Summary Page 1'!$F$43" name="F001P630700800900OthBudgFY"/>
      <definedName refersTo="='Summary Page 1'!$D$43" name="F001P630700800900SBBudgFY"/>
      <definedName refersTo="='Summary Page 1'!$C$22" name="F001TotalExpSumm"/>
      <definedName refersTo="='Summary Page 1'!$D$22" name="GBLBudgFYSumm"/>
      <definedName refersTo="='Summary Page 1'!$I$13" name="PercentageIncreaseSumm"/>
      <definedName refersTo="='Summary Page 1'!$C$16" name="PrimTaxRatePYSumm"/>
      <definedName refersTo="='Summary Page 1'!$C$12" name="PriorYearADM"/>
      <definedName refersTo="='Summary Page 1'!$I$11" name="PriorYearSalarySumm"/>
      <definedName refersTo="='Summary Page 2'!$H$38" name="RatioAdmin"/>
      <definedName refersTo="='Summary Page 2'!$H$40" name="RatioCertOther"/>
      <definedName refersTo="='Summary Page 2'!$H$41" name="RatioCertSubtotal"/>
      <definedName refersTo="='Summary Page 2'!$H$45" name="RatioClassOther"/>
      <definedName refersTo="='Summary Page 2'!$H$46" name="RatioClassSubtotal"/>
      <definedName refersTo="='Summary Page 2'!$H$43" name="RatioManagers"/>
      <definedName refersTo="='Summary Page 2'!$H$39" name="RatioTeachers"/>
      <definedName refersTo="='Summary Page 2'!$H$44" name="RatioTeachersAides"/>
      <definedName refersTo="='Summary Page 2'!$H$47" name="RatioTotal"/>
      <definedName refersTo="='Summary Page 1'!$E$15" name="SalaryCommentsSumm"/>
      <definedName refersTo="='Summary Page 1'!$I$12" name="SalaryIncreaseSumm"/>
      <definedName refersTo="='Summary Page 1'!$D$19" name="SecTaxRateBudgFYSumm"/>
      <definedName refersTo="='Summary Page 1'!$C$19" name="SecTaxRatePYSumm"/>
      <definedName refersTo="='Page 2'!$F$11" name="SPEDELLCompInstrCurrFY"/>
      <definedName refersTo="='Summary Page 2'!$H$51" name="SPEDStaff"/>
      <definedName refersTo="='Summary Page 2'!$H$50" name="SPEDTeacher"/>
      <definedName refersTo="='Summary Page 2'!$D$16" name="SumDebtServiceBY"/>
      <definedName refersTo="='Summary Page 2'!$D$15" name="SummAdjacentWaysBY"/>
      <definedName refersTo="='Summary Page 2'!$C$15" name="SummAdjacentWaysPY"/>
      <definedName refersTo="='Summary Page 2'!$E$25" name="SummAllDisabilityBY"/>
      <definedName refersTo="='Summary Page 2'!$D$25" name="SummAllDisabilityPY"/>
      <definedName refersTo="='Summary Page 2'!$D$18" name="SummAuxOpsBY"/>
      <definedName refersTo="='Summary Page 2'!$C$18" name="SummAuxOpsPY"/>
      <definedName refersTo="='Summary Page 2'!$D$19" name="SummBondBuildingBY"/>
      <definedName refersTo="='Summary Page 2'!$C$19" name="SummBondBuildingPY"/>
      <definedName refersTo="='Summary Page 2'!$E$31" name="SummCareerEdBY"/>
      <definedName refersTo="='Summary Page 2'!$D$31" name="SummCareerEdPY"/>
      <definedName refersTo="='Summary Page 2'!$D$9" name="SummCompInstrBY"/>
      <definedName refersTo="='Summary Page 2'!$C$9" name="SummCompInstrPY"/>
      <definedName refersTo="='Summary Page 2'!$D$10" name="SummCSFBY"/>
      <definedName refersTo="='Summary Page 2'!$C$10" name="SummCSFPY"/>
      <definedName refersTo="='Summary Page 2'!$E$32" name="SummCTEDBY"/>
      <definedName refersTo="='Summary Page 2'!$D$32" name="SummCTEDPY"/>
      <definedName refersTo="='Summary Page 2'!$C$16" name="SummDebtServicePY"/>
      <definedName refersTo="='Summary Page 2'!$D$8" name="SummELLBY"/>
      <definedName refersTo="='Summary Page 2'!$E$29" name="SummELLCompInstBY"/>
      <definedName refersTo="='Summary Page 2'!$E$28" name="SummELLIncrementalBY"/>
      <definedName refersTo="='Summary Page 2'!$D$28" name="SummELLIncrementalPY"/>
      <definedName refersTo="='Summary Page 2'!$C$8" name="SummELLPY"/>
      <definedName refersTo="='Summary Page 2'!$D$11" name="SummFedProjectsBY"/>
      <definedName refersTo="='Summary Page 2'!$C$11" name="SummFedProjectsPY"/>
      <definedName refersTo="='Summary Page 2'!$D$20" name="SummFoodServiceBY"/>
      <definedName refersTo="='Summary Page 2'!$C$20" name="SummFoodServicePY"/>
      <definedName refersTo="='Summary Page 2'!$E$26" name="SummGiftedBY"/>
      <definedName refersTo="='Summary Page 2'!$D$26" name="SummGiftedPY"/>
      <definedName refersTo="='Summary Page 2'!$D$7" name="SummInstImprovBY"/>
      <definedName refersTo="='Summary Page 2'!$C$7" name="SummInstImprovPY"/>
      <definedName refersTo="='Summary Page 2'!$D$6" name="SummMOBY"/>
      <definedName refersTo="='Summary Page 2'!$C$6" name="SummMOPY"/>
      <definedName refersTo="='Summary Page 2'!$D$14" name="SummNSFBY"/>
      <definedName refersTo="='Summary Page 2'!$C$14" name="SummNSFPY"/>
      <definedName refersTo="='Summary Page 2'!$D$21" name="SummOtherBY"/>
      <definedName refersTo="='Summary Page 2'!$C$21" name="SummOtherPY"/>
      <definedName refersTo="='Summary Page 2'!$E$27" name="SummRemedialBY"/>
      <definedName refersTo="='Summary Page 2'!$D$27" name="SummRemedialPY"/>
      <definedName refersTo="='Summary Page 2'!$D$17" name="SummSchoolPlantBY"/>
      <definedName refersTo="='Summary Page 2'!$C$17" name="SummSchoolPlantPY"/>
      <definedName refersTo="='Summary Page 2'!$E$33" name="SummSpecEdTotalBY"/>
      <definedName refersTo="='Summary Page 2'!$D$33" name="SummSpecEdTotalPY"/>
      <definedName refersTo="='Summary Page 2'!$D$12" name="SummStateProjectsBY"/>
      <definedName refersTo="='Summary Page 2'!$C$12" name="SummStateProjectsPY"/>
      <definedName refersTo="='Summary Page 2'!$D$13" name="SummUCOBY"/>
      <definedName refersTo="='Summary Page 2'!$C$13" name="SummUCOPY"/>
      <definedName refersTo="='Summary Page 2'!$E$30" name="SummVocandTechEdBY"/>
      <definedName refersTo="='Summary Page 2'!$D$30" name="SummVocandTechEdPY"/>
      <definedName refersTo="='Summary Page 2'!$F$38" name="TotalFTEAdmin"/>
      <definedName refersTo="='Summary Page 2'!$F$40" name="TotalFTECertOther"/>
      <definedName refersTo="='Summary Page 2'!$F$41" name="TotalFTECertSubtotal"/>
      <definedName refersTo="='Summary Page 2'!$F$45" name="TotalFTEClassOther"/>
      <definedName refersTo="='Summary Page 2'!$F$46" name="TotalFTEClassSubtotal"/>
      <definedName refersTo="='Summary Page 2'!$F$43" name="TotalFTEManagers"/>
      <definedName refersTo="='Summary Page 2'!$F$51" name="TotalFTESpecEdStaff"/>
      <definedName refersTo="='Summary Page 2'!$F$50" name="TotalFTESpecEdTeacher"/>
      <definedName refersTo="='Summary Page 2'!$F$39" name="TotalFTETeachers"/>
      <definedName refersTo="='Summary Page 2'!$F$44" name="TotalFTETeachersAides"/>
      <definedName refersTo="='Summary Page 2'!$F$47" name="TotalFTETotal"/>
      <definedName refersTo="='Summary Page 1'!$B$12" name="TwoPriorYearADM"/>
      <definedName refersTo="='Summary Page 1'!$D$24" name="UCBLBudgFYSumm"/>
      <definedName refersTo="='Summary Page 1'!$C$24" name="UCOBudgFYSumm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econroy@madisoned.org" TargetMode="External"/><Relationship Id="rId2" Type="http://schemas.openxmlformats.org/officeDocument/2006/relationships/hyperlink" Target="http://../../FY%202024%20Budget%20Forms/Prohibited%20formula%20characters/Files%20from%20ADE%203-27-23/Summ_Page1_StudentCoun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0.5"/>
    <col customWidth="1" min="2" max="2" width="6.5"/>
    <col customWidth="1" min="3" max="3" width="10.5"/>
    <col customWidth="1" min="4" max="5" width="11.0"/>
    <col customWidth="1" min="6" max="7" width="5.5"/>
    <col customWidth="1" min="8" max="8" width="10.5"/>
    <col customWidth="1" min="9" max="9" width="11.0"/>
    <col customWidth="1" min="10" max="10" width="12.5"/>
    <col customWidth="1" min="11" max="12" width="5.5"/>
    <col customWidth="1" min="13" max="13" width="9.5"/>
    <col customWidth="1" min="14" max="14" width="7.5"/>
    <col customWidth="1" min="15" max="15" width="13.0"/>
    <col customWidth="1" min="16" max="17" width="9.5"/>
    <col customWidth="1" min="18" max="18" width="13.5"/>
    <col customWidth="1" min="19" max="26" width="9.5"/>
  </cols>
  <sheetData>
    <row r="1" ht="12.75" customHeight="1">
      <c r="B1" s="1" t="s">
        <v>0</v>
      </c>
      <c r="C1" s="2" t="str">
        <f>[1]Cover!$C$1</f>
        <v>#ERROR!</v>
      </c>
      <c r="D1" s="2"/>
      <c r="E1" s="3"/>
      <c r="I1" s="1" t="s">
        <v>1</v>
      </c>
      <c r="J1" s="4" t="s">
        <v>2</v>
      </c>
      <c r="K1" s="5"/>
      <c r="L1" s="6"/>
      <c r="M1" s="7" t="s">
        <v>3</v>
      </c>
      <c r="N1" s="6"/>
      <c r="P1" s="8"/>
      <c r="Q1" s="8"/>
      <c r="R1" s="8"/>
      <c r="S1" s="8"/>
      <c r="T1" s="8"/>
      <c r="U1" s="8"/>
      <c r="V1" s="8"/>
      <c r="W1" s="8"/>
      <c r="X1" s="9"/>
      <c r="Y1" s="3"/>
      <c r="Z1" s="3"/>
    </row>
    <row r="2" ht="12.75" customHeight="1">
      <c r="A2" s="1"/>
      <c r="B2" s="1"/>
      <c r="C2" s="10"/>
      <c r="D2" s="1"/>
      <c r="E2" s="1"/>
      <c r="I2" s="11"/>
      <c r="J2" s="6"/>
      <c r="K2" s="6"/>
      <c r="L2" s="6"/>
      <c r="M2" s="7" t="s">
        <v>4</v>
      </c>
      <c r="N2" s="6"/>
      <c r="P2" s="8"/>
      <c r="Q2" s="8"/>
      <c r="R2" s="8"/>
      <c r="S2" s="8"/>
      <c r="T2" s="8"/>
      <c r="U2" s="8"/>
      <c r="V2" s="8"/>
      <c r="W2" s="8"/>
      <c r="X2" s="9"/>
      <c r="Y2" s="3"/>
      <c r="Z2" s="3"/>
    </row>
    <row r="3" ht="29.25" customHeight="1">
      <c r="A3" s="12" t="str">
        <f>IF(ISNUMBER(SEARCH("Revised*",K22)),M1,M2)</f>
        <v>This is a notification that the above mentioned School District will be having a public hearing and board meeting to adopt its Fiscal Year 2025 Expenditure Budget.</v>
      </c>
      <c r="N3" s="8"/>
      <c r="P3" s="8"/>
      <c r="Q3" s="8"/>
      <c r="R3" s="8"/>
      <c r="S3" s="8"/>
      <c r="T3" s="8"/>
      <c r="U3" s="8"/>
      <c r="V3" s="8"/>
      <c r="W3" s="8"/>
      <c r="X3" s="8"/>
      <c r="Y3" s="3"/>
      <c r="Z3" s="3"/>
    </row>
    <row r="4" ht="12.75" customHeight="1">
      <c r="Y4" s="3"/>
      <c r="Z4" s="3"/>
    </row>
    <row r="5" ht="12.75" customHeight="1">
      <c r="B5" s="1" t="s">
        <v>5</v>
      </c>
      <c r="C5" s="13">
        <v>45783.0</v>
      </c>
      <c r="D5" s="14"/>
      <c r="H5" s="1" t="s">
        <v>6</v>
      </c>
      <c r="I5" s="15" t="s">
        <v>7</v>
      </c>
      <c r="J5" s="14"/>
      <c r="K5" s="16"/>
      <c r="Y5" s="3"/>
      <c r="Z5" s="3"/>
    </row>
    <row r="6" ht="12.75" customHeight="1">
      <c r="A6" s="1"/>
      <c r="B6" s="1"/>
      <c r="Y6" s="3"/>
      <c r="Z6" s="3"/>
    </row>
    <row r="7" ht="12.75" customHeight="1">
      <c r="A7" s="10" t="s">
        <v>8</v>
      </c>
      <c r="Y7" s="3"/>
      <c r="Z7" s="3"/>
    </row>
    <row r="8" ht="12.75" customHeight="1">
      <c r="B8" s="1" t="s">
        <v>9</v>
      </c>
      <c r="C8" s="17" t="s">
        <v>10</v>
      </c>
      <c r="D8" s="14"/>
      <c r="E8" s="14"/>
      <c r="F8" s="14"/>
      <c r="G8" s="14"/>
      <c r="H8" s="14"/>
      <c r="I8" s="14"/>
      <c r="Y8" s="3"/>
      <c r="Z8" s="3"/>
    </row>
    <row r="9" ht="12.75" customHeight="1">
      <c r="B9" s="1" t="s">
        <v>11</v>
      </c>
      <c r="C9" s="17" t="s">
        <v>12</v>
      </c>
      <c r="D9" s="14"/>
      <c r="E9" s="1" t="s">
        <v>13</v>
      </c>
      <c r="F9" s="18" t="s">
        <v>14</v>
      </c>
      <c r="G9" s="14"/>
      <c r="H9" s="14"/>
      <c r="I9" s="14"/>
      <c r="Y9" s="3"/>
      <c r="Z9" s="3"/>
    </row>
    <row r="10" ht="12.75" customHeight="1">
      <c r="B10" s="1" t="s">
        <v>15</v>
      </c>
      <c r="C10" s="19" t="s">
        <v>16</v>
      </c>
      <c r="D10" s="20"/>
      <c r="E10" s="1" t="s">
        <v>17</v>
      </c>
      <c r="F10" s="21" t="s">
        <v>18</v>
      </c>
      <c r="G10" s="10"/>
      <c r="H10" s="1" t="s">
        <v>19</v>
      </c>
      <c r="I10" s="21">
        <v>85016.0</v>
      </c>
      <c r="Y10" s="3"/>
      <c r="Z10" s="3"/>
    </row>
    <row r="11" ht="12.75" customHeight="1">
      <c r="A11" s="1"/>
      <c r="B11" s="1"/>
      <c r="C11" s="1"/>
      <c r="D11" s="10"/>
      <c r="E11" s="1"/>
      <c r="F11" s="10"/>
      <c r="G11" s="10"/>
      <c r="Y11" s="3"/>
      <c r="Z11" s="3"/>
    </row>
    <row r="12" ht="17.25" customHeight="1">
      <c r="A12" s="22" t="s">
        <v>20</v>
      </c>
      <c r="Y12" s="3"/>
      <c r="Z12" s="3"/>
    </row>
    <row r="13" ht="12.75" customHeight="1">
      <c r="B13" s="1" t="s">
        <v>21</v>
      </c>
      <c r="C13" s="18" t="s">
        <v>22</v>
      </c>
      <c r="D13" s="14"/>
      <c r="E13" s="3"/>
      <c r="F13" s="3"/>
      <c r="G13" s="3"/>
      <c r="H13" s="1" t="s">
        <v>23</v>
      </c>
      <c r="I13" s="18" t="s">
        <v>24</v>
      </c>
      <c r="J13" s="14"/>
      <c r="K13" s="10"/>
      <c r="Y13" s="3"/>
      <c r="Z13" s="3"/>
    </row>
    <row r="14" ht="12.75" customHeight="1">
      <c r="B14" s="1" t="s">
        <v>25</v>
      </c>
      <c r="C14" s="23" t="s">
        <v>26</v>
      </c>
      <c r="D14" s="20"/>
      <c r="H14" s="1" t="s">
        <v>27</v>
      </c>
      <c r="I14" s="21"/>
      <c r="J14" s="20"/>
      <c r="K14" s="10"/>
      <c r="Y14" s="3"/>
      <c r="Z14" s="3"/>
    </row>
    <row r="15" ht="12.75" customHeight="1">
      <c r="A15" s="3"/>
      <c r="B15" s="3"/>
      <c r="C15" s="3"/>
      <c r="D15" s="3"/>
      <c r="E15" s="3"/>
      <c r="F15" s="3"/>
      <c r="G15" s="3"/>
      <c r="Y15" s="3"/>
      <c r="Z15" s="3"/>
    </row>
    <row r="16" ht="27.75" customHeight="1">
      <c r="A16" s="24" t="s">
        <v>28</v>
      </c>
      <c r="M16" s="24"/>
      <c r="N16" s="24"/>
      <c r="O16" s="24"/>
      <c r="Y16" s="3"/>
      <c r="Z16" s="3"/>
    </row>
    <row r="17" ht="12.75" customHeight="1">
      <c r="A17" s="3"/>
      <c r="B17" s="3"/>
      <c r="C17" s="3"/>
      <c r="D17" s="3"/>
      <c r="E17" s="3"/>
      <c r="F17" s="3"/>
      <c r="G17" s="3"/>
      <c r="Y17" s="3"/>
      <c r="Z17" s="3"/>
    </row>
    <row r="18" ht="12.75" customHeight="1">
      <c r="A18" s="25" t="s">
        <v>29</v>
      </c>
      <c r="G18" s="25"/>
      <c r="Y18" s="3"/>
      <c r="Z18" s="3"/>
    </row>
    <row r="19" ht="39.0" customHeight="1">
      <c r="A19" s="26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7"/>
      <c r="Y19" s="3"/>
      <c r="Z19" s="3"/>
    </row>
    <row r="20" ht="12.75" customHeight="1">
      <c r="M20" s="28" t="s">
        <v>30</v>
      </c>
      <c r="Y20" s="3"/>
      <c r="Z20" s="3"/>
    </row>
    <row r="21" ht="12.75" customHeight="1">
      <c r="A21" s="29" t="str">
        <f>IF(ISNUMBER(SEARCH("Revised*",K22)),M27,M26)</f>
        <v> SUMMARY OF SCHOOL DISTRICT PROPOSED EXPENDITURE BUDGET</v>
      </c>
      <c r="B21" s="30"/>
      <c r="C21" s="30"/>
      <c r="D21" s="30"/>
      <c r="E21" s="30"/>
      <c r="F21" s="30"/>
      <c r="G21" s="30"/>
      <c r="H21" s="31"/>
      <c r="J21" s="32" t="s">
        <v>31</v>
      </c>
      <c r="K21" s="33" t="str">
        <f>J1</f>
        <v>070438000</v>
      </c>
      <c r="L21" s="34"/>
      <c r="M21" s="28" t="s">
        <v>32</v>
      </c>
      <c r="Y21" s="3"/>
      <c r="Z21" s="3"/>
    </row>
    <row r="22" ht="12.75" customHeight="1">
      <c r="A22" s="35"/>
      <c r="B22" s="35"/>
      <c r="C22" s="8"/>
      <c r="D22" s="8"/>
      <c r="E22" s="8"/>
      <c r="F22" s="8"/>
      <c r="G22" s="8"/>
      <c r="H22" s="8"/>
      <c r="J22" s="36" t="s">
        <v>33</v>
      </c>
      <c r="K22" s="37" t="str">
        <f>[1]Cover!$C$8</f>
        <v>#ERROR!</v>
      </c>
      <c r="L22" s="14"/>
      <c r="Y22" s="3"/>
      <c r="Z22" s="3"/>
    </row>
    <row r="23" ht="12.75" customHeight="1">
      <c r="A23" s="38" t="s">
        <v>34</v>
      </c>
      <c r="B23" s="39" t="s">
        <v>35</v>
      </c>
      <c r="C23" s="40"/>
      <c r="D23" s="34"/>
      <c r="E23" s="41" t="s">
        <v>36</v>
      </c>
      <c r="F23" s="42" t="s">
        <v>37</v>
      </c>
      <c r="G23" s="14"/>
      <c r="H23" s="43" t="s">
        <v>38</v>
      </c>
      <c r="I23" s="43"/>
      <c r="J23" s="43"/>
      <c r="K23" s="43"/>
      <c r="M23" s="28" t="s">
        <v>39</v>
      </c>
      <c r="Y23" s="3"/>
      <c r="Z23" s="3"/>
    </row>
    <row r="24" ht="12.75" customHeight="1">
      <c r="A24" s="43" t="str">
        <f>IF(ISNUMBER(SEARCH("Revised*",K22)),M20,M21)</f>
        <v>proposed by the Governing Board on</v>
      </c>
      <c r="B24" s="43"/>
      <c r="C24" s="44" t="s">
        <v>40</v>
      </c>
      <c r="D24" s="43" t="str">
        <f>IF(ISNUMBER(SEARCH("Revised*",K22)),M23,M24)</f>
        <v>, 2024, and that the complete Proposed Expenditure Budget may be reviewed by contacting</v>
      </c>
      <c r="E24" s="43"/>
      <c r="G24" s="43"/>
      <c r="H24" s="43"/>
      <c r="I24" s="43"/>
      <c r="J24" s="43"/>
      <c r="K24" s="43"/>
      <c r="L24" s="43"/>
      <c r="M24" s="28" t="s">
        <v>41</v>
      </c>
      <c r="Y24" s="3"/>
      <c r="Z24" s="3"/>
    </row>
    <row r="25" ht="12.75" customHeight="1">
      <c r="A25" s="45" t="s">
        <v>22</v>
      </c>
      <c r="B25" s="46" t="s">
        <v>42</v>
      </c>
      <c r="E25" s="42" t="s">
        <v>24</v>
      </c>
      <c r="F25" s="14"/>
      <c r="G25" s="14"/>
      <c r="H25" s="43" t="s">
        <v>43</v>
      </c>
      <c r="K25" s="43"/>
      <c r="Y25" s="3"/>
      <c r="Z25" s="3"/>
    </row>
    <row r="26" ht="12.75" customHeight="1">
      <c r="A26" s="47"/>
      <c r="B26" s="47"/>
      <c r="C26" s="48"/>
      <c r="D26" s="48"/>
      <c r="E26" s="49"/>
      <c r="F26" s="40"/>
      <c r="G26" s="40"/>
      <c r="H26" s="34"/>
      <c r="I26" s="47"/>
      <c r="J26" s="47"/>
      <c r="K26" s="47"/>
      <c r="M26" s="50" t="s">
        <v>44</v>
      </c>
      <c r="Y26" s="3"/>
      <c r="Z26" s="3"/>
    </row>
    <row r="27" ht="12.75" customHeight="1">
      <c r="A27" s="47"/>
      <c r="B27" s="47"/>
      <c r="C27" s="48"/>
      <c r="D27" s="48"/>
      <c r="E27" s="51" t="s">
        <v>45</v>
      </c>
      <c r="F27" s="52"/>
      <c r="G27" s="52"/>
      <c r="H27" s="53"/>
      <c r="I27" s="47"/>
      <c r="J27" s="47"/>
      <c r="K27" s="47"/>
      <c r="M27" s="50" t="s">
        <v>46</v>
      </c>
      <c r="Y27" s="3"/>
      <c r="Z27" s="3"/>
    </row>
    <row r="28" ht="8.25" customHeight="1">
      <c r="A28" s="54"/>
      <c r="B28" s="54"/>
      <c r="C28" s="54"/>
      <c r="D28" s="54"/>
      <c r="E28" s="54"/>
      <c r="F28" s="54"/>
      <c r="G28" s="54"/>
      <c r="H28" s="47"/>
      <c r="I28" s="47"/>
      <c r="J28" s="47"/>
      <c r="K28" s="47"/>
      <c r="Y28" s="3"/>
      <c r="Z28" s="3"/>
    </row>
    <row r="29" ht="11.25" customHeight="1">
      <c r="A29" s="55" t="s">
        <v>47</v>
      </c>
      <c r="B29" s="56"/>
      <c r="C29" s="57"/>
      <c r="D29" s="58" t="s">
        <v>48</v>
      </c>
      <c r="E29" s="58" t="s">
        <v>49</v>
      </c>
      <c r="F29" s="59" t="s">
        <v>50</v>
      </c>
      <c r="G29" s="60"/>
      <c r="H29" s="61"/>
      <c r="I29" s="62"/>
      <c r="J29" s="62"/>
      <c r="K29" s="62"/>
      <c r="L29" s="63"/>
      <c r="Y29" s="3"/>
      <c r="Z29" s="3"/>
    </row>
    <row r="30" ht="9.75" customHeight="1">
      <c r="A30" s="64"/>
      <c r="B30" s="54"/>
      <c r="C30" s="65" t="s">
        <v>51</v>
      </c>
      <c r="D30" s="65" t="s">
        <v>52</v>
      </c>
      <c r="E30" s="65" t="s">
        <v>53</v>
      </c>
      <c r="F30" s="66" t="s">
        <v>54</v>
      </c>
      <c r="G30" s="67"/>
      <c r="H30" s="68"/>
      <c r="I30" s="69"/>
      <c r="J30" s="3"/>
      <c r="K30" s="70" t="str">
        <f>[1]!BudgetYearSalarySumm</f>
        <v>#ERROR!</v>
      </c>
      <c r="L30" s="71"/>
      <c r="Y30" s="3"/>
      <c r="Z30" s="3"/>
    </row>
    <row r="31" ht="11.25" customHeight="1">
      <c r="A31" s="72" t="s">
        <v>55</v>
      </c>
      <c r="B31" s="73"/>
      <c r="C31" s="74"/>
      <c r="D31" s="74"/>
      <c r="E31" s="75"/>
      <c r="F31" s="66" t="s">
        <v>56</v>
      </c>
      <c r="G31" s="67"/>
      <c r="H31" s="68"/>
      <c r="I31" s="69"/>
      <c r="J31" s="3"/>
      <c r="K31" s="76" t="str">
        <f>[1]!PriorYearSalarySumm</f>
        <v>#ERROR!</v>
      </c>
      <c r="L31" s="27"/>
      <c r="Y31" s="3"/>
      <c r="Z31" s="3"/>
    </row>
    <row r="32" ht="10.5" customHeight="1">
      <c r="A32" s="77"/>
      <c r="B32" s="78"/>
      <c r="C32" s="79" t="str">
        <f>[1]!TwoPriorYearADM</f>
        <v>#ERROR!</v>
      </c>
      <c r="D32" s="79" t="str">
        <f>[1]!PriorYearADM</f>
        <v>#ERROR!</v>
      </c>
      <c r="E32" s="80" t="str">
        <f>[1]!BudgetYearADM</f>
        <v>#ERROR!</v>
      </c>
      <c r="F32" s="81" t="s">
        <v>57</v>
      </c>
      <c r="G32" s="67"/>
      <c r="H32" s="68"/>
      <c r="I32" s="69"/>
      <c r="J32" s="3"/>
      <c r="K32" s="82" t="str">
        <f>[1]!SalaryIncreaseSumm</f>
        <v>#ERROR!</v>
      </c>
      <c r="L32" s="27"/>
      <c r="Y32" s="3"/>
      <c r="Z32" s="3"/>
    </row>
    <row r="33" ht="11.25" customHeight="1">
      <c r="A33" s="83" t="s">
        <v>58</v>
      </c>
      <c r="B33" s="84"/>
      <c r="C33" s="84"/>
      <c r="D33" s="85" t="s">
        <v>59</v>
      </c>
      <c r="E33" s="85" t="s">
        <v>60</v>
      </c>
      <c r="F33" s="81" t="s">
        <v>61</v>
      </c>
      <c r="G33" s="67"/>
      <c r="H33" s="68"/>
      <c r="I33" s="69"/>
      <c r="J33" s="3"/>
      <c r="K33" s="86" t="str">
        <f>[1]!PercentageIncreaseSumm</f>
        <v>#ERROR!</v>
      </c>
      <c r="L33" s="27"/>
      <c r="Y33" s="3"/>
      <c r="Z33" s="3"/>
    </row>
    <row r="34" ht="11.25" customHeight="1">
      <c r="A34" s="87" t="s">
        <v>62</v>
      </c>
      <c r="B34" s="88"/>
      <c r="C34" s="89"/>
      <c r="D34" s="90" t="str">
        <f>[1]!PrimTaxRatePYSumm</f>
        <v>#ERROR!</v>
      </c>
      <c r="E34" s="90" t="str">
        <f>[1]!EstTaxRateBudgFYSumm</f>
        <v>#ERROR!</v>
      </c>
      <c r="F34" s="91"/>
      <c r="G34" s="91"/>
      <c r="H34" s="92"/>
      <c r="I34" s="92"/>
      <c r="J34" s="92"/>
      <c r="K34" s="92"/>
      <c r="L34" s="93"/>
      <c r="Y34" s="3"/>
      <c r="Z34" s="3"/>
    </row>
    <row r="35" ht="12.75" customHeight="1">
      <c r="A35" s="94"/>
      <c r="C35" s="95"/>
      <c r="D35" s="96"/>
      <c r="E35" s="96"/>
      <c r="F35" s="97" t="str">
        <f>IF([1]!SalaryCommentsSumm="","",[1]!SalaryCommentsSumm)</f>
        <v>#ERROR!</v>
      </c>
      <c r="G35" s="98"/>
      <c r="H35" s="98"/>
      <c r="I35" s="98"/>
      <c r="J35" s="98"/>
      <c r="K35" s="98"/>
      <c r="L35" s="99"/>
      <c r="Q35" s="100"/>
      <c r="R35" s="101"/>
      <c r="S35" s="100"/>
      <c r="T35" s="101"/>
      <c r="U35" s="101"/>
      <c r="Y35" s="3"/>
      <c r="Z35" s="3"/>
    </row>
    <row r="36" ht="9.75" customHeight="1">
      <c r="A36" s="102"/>
      <c r="B36" s="103"/>
      <c r="C36" s="104"/>
      <c r="D36" s="105"/>
      <c r="E36" s="105"/>
      <c r="F36" s="94"/>
      <c r="L36" s="95"/>
      <c r="Q36" s="106"/>
      <c r="R36" s="107"/>
      <c r="S36" s="108"/>
      <c r="T36" s="108"/>
      <c r="U36" s="101"/>
      <c r="Y36" s="3"/>
      <c r="Z36" s="3"/>
    </row>
    <row r="37" ht="12.0" customHeight="1">
      <c r="A37" s="109" t="s">
        <v>63</v>
      </c>
      <c r="B37" s="88"/>
      <c r="C37" s="89"/>
      <c r="D37" s="90" t="str">
        <f>[1]!SecTaxRatePYSumm</f>
        <v>#ERROR!</v>
      </c>
      <c r="E37" s="90" t="str">
        <f>[1]!SecTaxRateBudgFYSumm</f>
        <v>#ERROR!</v>
      </c>
      <c r="F37" s="94"/>
      <c r="L37" s="95"/>
      <c r="Q37" s="106"/>
      <c r="R37" s="68"/>
      <c r="S37" s="69"/>
      <c r="T37" s="3"/>
      <c r="U37" s="110"/>
      <c r="Y37" s="3"/>
      <c r="Z37" s="3"/>
    </row>
    <row r="38" ht="11.25" customHeight="1">
      <c r="A38" s="94"/>
      <c r="C38" s="95"/>
      <c r="D38" s="96"/>
      <c r="E38" s="96"/>
      <c r="F38" s="94"/>
      <c r="L38" s="95"/>
      <c r="Q38" s="106"/>
      <c r="R38" s="68"/>
      <c r="S38" s="69"/>
      <c r="T38" s="3"/>
      <c r="U38" s="110"/>
      <c r="Y38" s="3"/>
      <c r="Z38" s="3"/>
    </row>
    <row r="39" ht="10.5" customHeight="1">
      <c r="A39" s="111"/>
      <c r="B39" s="14"/>
      <c r="C39" s="71"/>
      <c r="D39" s="105"/>
      <c r="E39" s="105"/>
      <c r="F39" s="94"/>
      <c r="L39" s="95"/>
      <c r="Q39" s="106"/>
      <c r="R39" s="68"/>
      <c r="S39" s="69"/>
      <c r="T39" s="3"/>
      <c r="U39" s="110"/>
      <c r="Y39" s="3"/>
      <c r="Z39" s="3"/>
    </row>
    <row r="40" ht="12.75" customHeight="1">
      <c r="A40" s="112" t="s">
        <v>64</v>
      </c>
      <c r="B40" s="113"/>
      <c r="C40" s="54"/>
      <c r="D40" s="85" t="s">
        <v>65</v>
      </c>
      <c r="E40" s="114"/>
      <c r="F40" s="94"/>
      <c r="L40" s="95"/>
      <c r="Q40" s="106"/>
      <c r="R40" s="68"/>
      <c r="S40" s="69"/>
      <c r="T40" s="3"/>
      <c r="U40" s="115"/>
      <c r="Y40" s="3"/>
      <c r="Z40" s="3"/>
    </row>
    <row r="41" ht="11.25" customHeight="1">
      <c r="A41" s="116"/>
      <c r="C41" s="54"/>
      <c r="D41" s="41" t="s">
        <v>66</v>
      </c>
      <c r="E41" s="117" t="s">
        <v>67</v>
      </c>
      <c r="F41" s="94"/>
      <c r="L41" s="95"/>
      <c r="Y41" s="3"/>
      <c r="Z41" s="3"/>
    </row>
    <row r="42" ht="14.25" customHeight="1">
      <c r="A42" s="118" t="s">
        <v>68</v>
      </c>
      <c r="B42" s="113"/>
      <c r="C42" s="3"/>
      <c r="D42" s="119" t="str">
        <f>[1]!F001TotalExpSumm</f>
        <v>#ERROR!</v>
      </c>
      <c r="E42" s="120" t="str">
        <f>[1]!GBLBudgFYSumm</f>
        <v>#ERROR!</v>
      </c>
      <c r="F42" s="94"/>
      <c r="L42" s="95"/>
      <c r="Y42" s="3"/>
      <c r="Z42" s="3"/>
    </row>
    <row r="43" ht="12.0" customHeight="1">
      <c r="A43" s="118" t="s">
        <v>69</v>
      </c>
      <c r="B43" s="113"/>
      <c r="C43" s="3"/>
      <c r="D43" s="121" t="str">
        <f>[1]!CSFExpBudgFYSumm</f>
        <v>#ERROR!</v>
      </c>
      <c r="E43" s="120" t="str">
        <f>[1]!CSFBLBudgFYSumm</f>
        <v>#ERROR!</v>
      </c>
      <c r="F43" s="94"/>
      <c r="L43" s="95"/>
      <c r="Y43" s="3"/>
      <c r="Z43" s="3"/>
    </row>
    <row r="44" ht="12.0" customHeight="1">
      <c r="A44" s="122" t="s">
        <v>70</v>
      </c>
      <c r="B44" s="123"/>
      <c r="C44" s="124"/>
      <c r="D44" s="125" t="str">
        <f>[1]!UCOBudgFYSumm</f>
        <v>#ERROR!</v>
      </c>
      <c r="E44" s="126" t="str">
        <f>[1]!UCBLBudgFYSumm</f>
        <v>#ERROR!</v>
      </c>
      <c r="F44" s="111"/>
      <c r="G44" s="14"/>
      <c r="H44" s="14"/>
      <c r="I44" s="14"/>
      <c r="J44" s="14"/>
      <c r="K44" s="14"/>
      <c r="L44" s="71"/>
      <c r="Y44" s="3"/>
      <c r="Z44" s="3"/>
    </row>
    <row r="45" ht="6.75" customHeight="1">
      <c r="A45" s="35"/>
      <c r="B45" s="35"/>
      <c r="C45" s="127"/>
      <c r="D45" s="128"/>
      <c r="E45" s="88"/>
      <c r="F45" s="88"/>
      <c r="G45" s="88"/>
      <c r="H45" s="88"/>
      <c r="I45" s="88"/>
      <c r="J45" s="88"/>
      <c r="K45" s="88"/>
      <c r="L45" s="129"/>
      <c r="Y45" s="3"/>
      <c r="Z45" s="3"/>
    </row>
    <row r="46" ht="4.5" customHeight="1">
      <c r="A46" s="130"/>
      <c r="B46" s="130"/>
      <c r="C46" s="130"/>
      <c r="D46" s="131"/>
      <c r="E46" s="14"/>
      <c r="F46" s="14"/>
      <c r="G46" s="14"/>
      <c r="H46" s="14"/>
      <c r="I46" s="14"/>
      <c r="J46" s="14"/>
      <c r="K46" s="14"/>
      <c r="L46" s="132"/>
      <c r="Y46" s="3"/>
      <c r="Z46" s="3"/>
    </row>
    <row r="47" ht="12.75" customHeight="1">
      <c r="A47" s="133" t="s">
        <v>71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7"/>
      <c r="Y47" s="3"/>
      <c r="Z47" s="3"/>
    </row>
    <row r="48" ht="12.75" customHeight="1">
      <c r="A48" s="64"/>
      <c r="B48" s="54"/>
      <c r="C48" s="134"/>
      <c r="D48" s="83"/>
      <c r="E48" s="135"/>
      <c r="F48" s="47"/>
      <c r="G48" s="47"/>
      <c r="H48" s="136"/>
      <c r="I48" s="137" t="s">
        <v>72</v>
      </c>
      <c r="J48" s="138"/>
      <c r="K48" s="137" t="s">
        <v>73</v>
      </c>
      <c r="L48" s="138"/>
      <c r="Y48" s="3"/>
      <c r="Z48" s="3"/>
    </row>
    <row r="49" ht="12.75" customHeight="1">
      <c r="A49" s="64"/>
      <c r="B49" s="54"/>
      <c r="C49" s="54"/>
      <c r="D49" s="139" t="s">
        <v>74</v>
      </c>
      <c r="E49" s="140"/>
      <c r="F49" s="139" t="s">
        <v>75</v>
      </c>
      <c r="G49" s="40"/>
      <c r="H49" s="140"/>
      <c r="I49" s="139" t="s">
        <v>76</v>
      </c>
      <c r="J49" s="140"/>
      <c r="K49" s="141" t="s">
        <v>77</v>
      </c>
      <c r="L49" s="142"/>
      <c r="Y49" s="3"/>
      <c r="Z49" s="3"/>
    </row>
    <row r="50" ht="12.75" customHeight="1">
      <c r="A50" s="64"/>
      <c r="B50" s="54"/>
      <c r="C50" s="54"/>
      <c r="D50" s="143" t="s">
        <v>59</v>
      </c>
      <c r="E50" s="143" t="s">
        <v>78</v>
      </c>
      <c r="F50" s="137" t="s">
        <v>59</v>
      </c>
      <c r="G50" s="138"/>
      <c r="H50" s="143" t="s">
        <v>78</v>
      </c>
      <c r="I50" s="143" t="s">
        <v>59</v>
      </c>
      <c r="J50" s="143" t="s">
        <v>78</v>
      </c>
      <c r="K50" s="141" t="s">
        <v>59</v>
      </c>
      <c r="L50" s="142"/>
      <c r="Y50" s="3"/>
      <c r="Z50" s="3"/>
    </row>
    <row r="51" ht="12.75" customHeight="1">
      <c r="A51" s="64"/>
      <c r="B51" s="54"/>
      <c r="C51" s="54"/>
      <c r="D51" s="144"/>
      <c r="E51" s="144"/>
      <c r="F51" s="145"/>
      <c r="G51" s="140"/>
      <c r="H51" s="144"/>
      <c r="I51" s="144"/>
      <c r="J51" s="144"/>
      <c r="K51" s="139"/>
      <c r="L51" s="140"/>
      <c r="Y51" s="3"/>
      <c r="Z51" s="3"/>
    </row>
    <row r="52" ht="12.75" customHeight="1">
      <c r="A52" s="146" t="s">
        <v>79</v>
      </c>
      <c r="B52" s="147"/>
      <c r="C52" s="54"/>
      <c r="D52" s="148" t="str">
        <f>'[1]Summary Page 1'!$C$33</f>
        <v>#REF!</v>
      </c>
      <c r="E52" s="148" t="str">
        <f>[1]!F001P100F1000SBBudgFY</f>
        <v>#ERROR!</v>
      </c>
      <c r="F52" s="149" t="str">
        <f>'[1]Summary Page 1'!$E$33</f>
        <v>#REF!</v>
      </c>
      <c r="G52" s="99"/>
      <c r="H52" s="148" t="str">
        <f>[1]!F001P100F1000OthBudgFY</f>
        <v>#ERROR!</v>
      </c>
      <c r="I52" s="150" t="str">
        <f>D52+F52</f>
        <v>#REF!</v>
      </c>
      <c r="J52" s="148" t="str">
        <f>E52+H52</f>
        <v>#ERROR!</v>
      </c>
      <c r="K52" s="151" t="str">
        <f>IF(I52=J52,0,IF(I52&gt;0,(J52-I52)/I52,"--"))</f>
        <v>#REF!</v>
      </c>
      <c r="L52" s="99"/>
      <c r="Y52" s="3"/>
      <c r="Z52" s="3"/>
    </row>
    <row r="53" ht="12.75" customHeight="1">
      <c r="A53" s="146" t="s">
        <v>80</v>
      </c>
      <c r="B53" s="147"/>
      <c r="C53" s="54"/>
      <c r="D53" s="105"/>
      <c r="E53" s="105"/>
      <c r="F53" s="111"/>
      <c r="G53" s="71"/>
      <c r="H53" s="105"/>
      <c r="I53" s="105"/>
      <c r="J53" s="105"/>
      <c r="K53" s="111"/>
      <c r="L53" s="71"/>
      <c r="Y53" s="3"/>
      <c r="Z53" s="3"/>
    </row>
    <row r="54" ht="12.75" customHeight="1">
      <c r="A54" s="146" t="s">
        <v>81</v>
      </c>
      <c r="B54" s="147"/>
      <c r="C54" s="54"/>
      <c r="D54" s="148" t="str">
        <f>'[1]Summary Page 1'!$C$35</f>
        <v>#REF!</v>
      </c>
      <c r="E54" s="148" t="str">
        <f>[1]!F001P100F2100SBBudgFY</f>
        <v>#ERROR!</v>
      </c>
      <c r="F54" s="149" t="str">
        <f>'[1]Summary Page 1'!$E$35</f>
        <v>#REF!</v>
      </c>
      <c r="G54" s="99"/>
      <c r="H54" s="148" t="str">
        <f>[1]!F001P100F2100OthBudgFY</f>
        <v>#ERROR!</v>
      </c>
      <c r="I54" s="150" t="str">
        <f>D54+F54</f>
        <v>#REF!</v>
      </c>
      <c r="J54" s="148" t="str">
        <f>E54+H54</f>
        <v>#ERROR!</v>
      </c>
      <c r="K54" s="151" t="str">
        <f>IF(I54=J54,0,IF(I54&gt;0,(J54-I54)/I54,"--"))</f>
        <v>#REF!</v>
      </c>
      <c r="L54" s="99"/>
      <c r="Y54" s="3"/>
      <c r="Z54" s="3"/>
    </row>
    <row r="55" ht="12.75" customHeight="1">
      <c r="A55" s="146" t="s">
        <v>82</v>
      </c>
      <c r="B55" s="147"/>
      <c r="C55" s="113"/>
      <c r="D55" s="105"/>
      <c r="E55" s="105"/>
      <c r="F55" s="111"/>
      <c r="G55" s="71"/>
      <c r="H55" s="105"/>
      <c r="I55" s="105"/>
      <c r="J55" s="105"/>
      <c r="K55" s="111"/>
      <c r="L55" s="71"/>
      <c r="Y55" s="3"/>
      <c r="Z55" s="3"/>
    </row>
    <row r="56" ht="12.75" customHeight="1">
      <c r="A56" s="152" t="s">
        <v>83</v>
      </c>
      <c r="B56" s="43"/>
      <c r="C56" s="54"/>
      <c r="D56" s="153" t="str">
        <f>'[1]Summary Page 1'!$C$36</f>
        <v>#REF!</v>
      </c>
      <c r="E56" s="154" t="str">
        <f>[1]!F001P100F2200SBBudgFY</f>
        <v>#ERROR!</v>
      </c>
      <c r="F56" s="155" t="str">
        <f>'[1]Summary Page 1'!$E$36</f>
        <v>#REF!</v>
      </c>
      <c r="G56" s="27"/>
      <c r="H56" s="156" t="str">
        <f>[1]!F001P100F2200OthBudgFY</f>
        <v>#ERROR!</v>
      </c>
      <c r="I56" s="126" t="str">
        <f t="shared" ref="I56:I63" si="1">D56+F56</f>
        <v>#REF!</v>
      </c>
      <c r="J56" s="156" t="str">
        <f t="shared" ref="J56:J63" si="2">E56+H56</f>
        <v>#ERROR!</v>
      </c>
      <c r="K56" s="157" t="str">
        <f t="shared" ref="K56:K65" si="3">IF(I56=J56,0,IF(I56&gt;0,(J56-I56)/I56,"--"))</f>
        <v>#REF!</v>
      </c>
      <c r="L56" s="27"/>
      <c r="Y56" s="3"/>
      <c r="Z56" s="3"/>
    </row>
    <row r="57" ht="12.75" customHeight="1">
      <c r="A57" s="152" t="s">
        <v>84</v>
      </c>
      <c r="B57" s="43"/>
      <c r="C57" s="158"/>
      <c r="D57" s="153" t="str">
        <f>'[1]Summary Page 1'!$C$37</f>
        <v>#REF!</v>
      </c>
      <c r="E57" s="154" t="str">
        <f>[1]!F001P100F230024002500SBBudgFY</f>
        <v>#ERROR!</v>
      </c>
      <c r="F57" s="155" t="str">
        <f>'[1]Summary Page 1'!$E$37</f>
        <v>#REF!</v>
      </c>
      <c r="G57" s="27"/>
      <c r="H57" s="156" t="str">
        <f>[1]!F001P100F230024002500OthBudgFY</f>
        <v>#ERROR!</v>
      </c>
      <c r="I57" s="126" t="str">
        <f t="shared" si="1"/>
        <v>#REF!</v>
      </c>
      <c r="J57" s="156" t="str">
        <f t="shared" si="2"/>
        <v>#ERROR!</v>
      </c>
      <c r="K57" s="157" t="str">
        <f t="shared" si="3"/>
        <v>#REF!</v>
      </c>
      <c r="L57" s="27"/>
      <c r="Y57" s="3"/>
      <c r="Z57" s="3"/>
    </row>
    <row r="58" ht="12.75" customHeight="1">
      <c r="A58" s="152" t="s">
        <v>85</v>
      </c>
      <c r="B58" s="43"/>
      <c r="C58" s="106"/>
      <c r="D58" s="153" t="str">
        <f>'[1]Summary Page 1'!$C$38</f>
        <v>#REF!</v>
      </c>
      <c r="E58" s="154" t="str">
        <f>[1]!F001P100F2600SBBudgFY</f>
        <v>#ERROR!</v>
      </c>
      <c r="F58" s="155" t="str">
        <f>'[1]Summary Page 1'!$E$38</f>
        <v>#REF!</v>
      </c>
      <c r="G58" s="27"/>
      <c r="H58" s="126" t="str">
        <f>[1]!F001P100F2600OthBudgFY</f>
        <v>#ERROR!</v>
      </c>
      <c r="I58" s="126" t="str">
        <f t="shared" si="1"/>
        <v>#REF!</v>
      </c>
      <c r="J58" s="156" t="str">
        <f t="shared" si="2"/>
        <v>#ERROR!</v>
      </c>
      <c r="K58" s="157" t="str">
        <f t="shared" si="3"/>
        <v>#REF!</v>
      </c>
      <c r="L58" s="27"/>
      <c r="Y58" s="3"/>
      <c r="Z58" s="3"/>
    </row>
    <row r="59" ht="12.75" customHeight="1">
      <c r="A59" s="146" t="s">
        <v>86</v>
      </c>
      <c r="B59" s="147"/>
      <c r="C59" s="54"/>
      <c r="D59" s="153" t="str">
        <f>'[1]Summary Page 1'!$C$39</f>
        <v>#REF!</v>
      </c>
      <c r="E59" s="154" t="str">
        <f>[1]!F001P100F2900SBBudgFY</f>
        <v>#ERROR!</v>
      </c>
      <c r="F59" s="155" t="str">
        <f>'[1]Summary Page 1'!$E$39</f>
        <v>#REF!</v>
      </c>
      <c r="G59" s="27"/>
      <c r="H59" s="126" t="str">
        <f>[1]!F001P100F2900OthBudgFY</f>
        <v>#ERROR!</v>
      </c>
      <c r="I59" s="126" t="str">
        <f t="shared" si="1"/>
        <v>#REF!</v>
      </c>
      <c r="J59" s="156" t="str">
        <f t="shared" si="2"/>
        <v>#ERROR!</v>
      </c>
      <c r="K59" s="157" t="str">
        <f t="shared" si="3"/>
        <v>#REF!</v>
      </c>
      <c r="L59" s="27"/>
      <c r="Y59" s="3"/>
      <c r="Z59" s="3"/>
    </row>
    <row r="60" ht="12.75" customHeight="1">
      <c r="A60" s="146" t="s">
        <v>87</v>
      </c>
      <c r="B60" s="147"/>
      <c r="C60" s="54"/>
      <c r="D60" s="153" t="str">
        <f>'[1]Summary Page 1'!$C$40</f>
        <v>#REF!</v>
      </c>
      <c r="E60" s="154" t="str">
        <f>[1]!F001P100F3000SBBudgFY</f>
        <v>#ERROR!</v>
      </c>
      <c r="F60" s="155" t="str">
        <f>'[1]Summary Page 1'!$E$40</f>
        <v>#REF!</v>
      </c>
      <c r="G60" s="27"/>
      <c r="H60" s="126" t="str">
        <f>[1]!F001P100F3000OthBudgFY</f>
        <v>#ERROR!</v>
      </c>
      <c r="I60" s="126" t="str">
        <f t="shared" si="1"/>
        <v>#REF!</v>
      </c>
      <c r="J60" s="156" t="str">
        <f t="shared" si="2"/>
        <v>#ERROR!</v>
      </c>
      <c r="K60" s="157" t="str">
        <f t="shared" si="3"/>
        <v>#REF!</v>
      </c>
      <c r="L60" s="27"/>
      <c r="Y60" s="3"/>
      <c r="Z60" s="3"/>
    </row>
    <row r="61" ht="12.75" customHeight="1">
      <c r="A61" s="64" t="s">
        <v>88</v>
      </c>
      <c r="B61" s="54"/>
      <c r="C61" s="54"/>
      <c r="D61" s="153" t="str">
        <f>'[1]Summary Page 1'!$C$41</f>
        <v>#REF!</v>
      </c>
      <c r="E61" s="154" t="str">
        <f>[1]!F001P610SBBudgFY</f>
        <v>#ERROR!</v>
      </c>
      <c r="F61" s="155" t="str">
        <f>'[1]Summary Page 1'!$E$41</f>
        <v>#REF!</v>
      </c>
      <c r="G61" s="27"/>
      <c r="H61" s="126" t="str">
        <f>[1]!F001P610OthBudgFY</f>
        <v>#ERROR!</v>
      </c>
      <c r="I61" s="126" t="str">
        <f t="shared" si="1"/>
        <v>#REF!</v>
      </c>
      <c r="J61" s="156" t="str">
        <f t="shared" si="2"/>
        <v>#ERROR!</v>
      </c>
      <c r="K61" s="157" t="str">
        <f t="shared" si="3"/>
        <v>#REF!</v>
      </c>
      <c r="L61" s="27"/>
      <c r="Y61" s="3"/>
      <c r="Z61" s="3"/>
    </row>
    <row r="62" ht="12.75" customHeight="1">
      <c r="A62" s="64" t="s">
        <v>89</v>
      </c>
      <c r="B62" s="54"/>
      <c r="C62" s="54"/>
      <c r="D62" s="153" t="str">
        <f>'[1]Summary Page 1'!$C$42</f>
        <v>#REF!</v>
      </c>
      <c r="E62" s="154" t="str">
        <f>[1]!F001P620SBBudgFY</f>
        <v>#ERROR!</v>
      </c>
      <c r="F62" s="155" t="str">
        <f>'[1]Summary Page 1'!$E$42</f>
        <v>#REF!</v>
      </c>
      <c r="G62" s="27"/>
      <c r="H62" s="126" t="str">
        <f>[1]!F001P620OthBudgFY</f>
        <v>#ERROR!</v>
      </c>
      <c r="I62" s="126" t="str">
        <f t="shared" si="1"/>
        <v>#REF!</v>
      </c>
      <c r="J62" s="156" t="str">
        <f t="shared" si="2"/>
        <v>#ERROR!</v>
      </c>
      <c r="K62" s="157" t="str">
        <f t="shared" si="3"/>
        <v>#REF!</v>
      </c>
      <c r="L62" s="27"/>
      <c r="Y62" s="3"/>
      <c r="Z62" s="3"/>
    </row>
    <row r="63" ht="12.75" customHeight="1">
      <c r="A63" s="64" t="s">
        <v>90</v>
      </c>
      <c r="B63" s="54"/>
      <c r="C63" s="54"/>
      <c r="D63" s="153" t="str">
        <f>'[1]Summary Page 1'!$C$43</f>
        <v>#REF!</v>
      </c>
      <c r="E63" s="154" t="str">
        <f>[1]!F001P630700800900SBBudgFY</f>
        <v>#ERROR!</v>
      </c>
      <c r="F63" s="155" t="str">
        <f>'[1]Summary Page 1'!$E$43</f>
        <v>#REF!</v>
      </c>
      <c r="G63" s="27"/>
      <c r="H63" s="153" t="str">
        <f>[1]!F001P630700800900OthBudgFY</f>
        <v>#ERROR!</v>
      </c>
      <c r="I63" s="153" t="str">
        <f t="shared" si="1"/>
        <v>#REF!</v>
      </c>
      <c r="J63" s="154" t="str">
        <f t="shared" si="2"/>
        <v>#ERROR!</v>
      </c>
      <c r="K63" s="157" t="str">
        <f t="shared" si="3"/>
        <v>#REF!</v>
      </c>
      <c r="L63" s="27"/>
      <c r="Y63" s="3"/>
      <c r="Z63" s="3"/>
    </row>
    <row r="64" ht="12.75" customHeight="1">
      <c r="A64" s="159" t="s">
        <v>91</v>
      </c>
      <c r="B64" s="38"/>
      <c r="C64" s="134"/>
      <c r="D64" s="154" t="str">
        <f t="shared" ref="D64:F64" si="4">SUM(D52:D63)</f>
        <v>#REF!</v>
      </c>
      <c r="E64" s="154" t="str">
        <f t="shared" si="4"/>
        <v>#ERROR!</v>
      </c>
      <c r="F64" s="155" t="str">
        <f t="shared" si="4"/>
        <v>#REF!</v>
      </c>
      <c r="G64" s="27"/>
      <c r="H64" s="156" t="str">
        <f t="shared" ref="H64:J64" si="5">SUM(H52:H63)</f>
        <v>#ERROR!</v>
      </c>
      <c r="I64" s="156" t="str">
        <f t="shared" si="5"/>
        <v>#REF!</v>
      </c>
      <c r="J64" s="156" t="str">
        <f t="shared" si="5"/>
        <v>#ERROR!</v>
      </c>
      <c r="K64" s="157" t="str">
        <f t="shared" si="3"/>
        <v>#REF!</v>
      </c>
      <c r="L64" s="27"/>
      <c r="Y64" s="3"/>
      <c r="Z64" s="3"/>
    </row>
    <row r="65" ht="12.75" customHeight="1">
      <c r="A65" s="146" t="s">
        <v>92</v>
      </c>
      <c r="B65" s="147"/>
      <c r="C65" s="54"/>
      <c r="D65" s="148" t="str">
        <f>'[1]Summary Page 1'!$C$46</f>
        <v>#REF!</v>
      </c>
      <c r="E65" s="148" t="str">
        <f>[1]!F001P200F1000SBBudgFY</f>
        <v>#ERROR!</v>
      </c>
      <c r="F65" s="149" t="str">
        <f>'[1]Summary Page 1'!$E$46</f>
        <v>#REF!</v>
      </c>
      <c r="G65" s="99"/>
      <c r="H65" s="148" t="str">
        <f>[1]!F001P200F1000OthBudgFY</f>
        <v>#ERROR!</v>
      </c>
      <c r="I65" s="150" t="str">
        <f>D65+F65</f>
        <v>#REF!</v>
      </c>
      <c r="J65" s="148" t="str">
        <f>E65+H65</f>
        <v>#ERROR!</v>
      </c>
      <c r="K65" s="151" t="str">
        <f t="shared" si="3"/>
        <v>#REF!</v>
      </c>
      <c r="L65" s="99"/>
      <c r="Y65" s="3"/>
      <c r="Z65" s="3"/>
    </row>
    <row r="66" ht="12.75" customHeight="1">
      <c r="A66" s="146" t="s">
        <v>80</v>
      </c>
      <c r="B66" s="147"/>
      <c r="C66" s="54"/>
      <c r="D66" s="105"/>
      <c r="E66" s="105"/>
      <c r="F66" s="111"/>
      <c r="G66" s="71"/>
      <c r="H66" s="105"/>
      <c r="I66" s="105"/>
      <c r="J66" s="105"/>
      <c r="K66" s="111"/>
      <c r="L66" s="71"/>
      <c r="Y66" s="3"/>
      <c r="Z66" s="3"/>
    </row>
    <row r="67" ht="12.75" customHeight="1">
      <c r="A67" s="146" t="s">
        <v>81</v>
      </c>
      <c r="B67" s="147"/>
      <c r="C67" s="54"/>
      <c r="D67" s="148" t="str">
        <f>'[1]Summary Page 1'!$C$48</f>
        <v>#REF!</v>
      </c>
      <c r="E67" s="148" t="str">
        <f>[1]!F001P200F2100SBBudgFY</f>
        <v>#ERROR!</v>
      </c>
      <c r="F67" s="149" t="str">
        <f>'[1]Summary Page 1'!$E$48</f>
        <v>#REF!</v>
      </c>
      <c r="G67" s="99"/>
      <c r="H67" s="148" t="str">
        <f>[1]!F001P200F2100OthBudgFY</f>
        <v>#ERROR!</v>
      </c>
      <c r="I67" s="150" t="str">
        <f>D67+F67</f>
        <v>#REF!</v>
      </c>
      <c r="J67" s="148" t="str">
        <f>E67+H67</f>
        <v>#ERROR!</v>
      </c>
      <c r="K67" s="151" t="str">
        <f>IF(I67=J67,0,IF(I67&gt;0,(J67-I67)/I67,"--"))</f>
        <v>#REF!</v>
      </c>
      <c r="L67" s="99"/>
      <c r="Y67" s="3"/>
      <c r="Z67" s="3"/>
    </row>
    <row r="68" ht="12.75" customHeight="1">
      <c r="A68" s="146" t="s">
        <v>82</v>
      </c>
      <c r="B68" s="147"/>
      <c r="C68" s="113"/>
      <c r="D68" s="105"/>
      <c r="E68" s="105"/>
      <c r="F68" s="111"/>
      <c r="G68" s="71"/>
      <c r="H68" s="105"/>
      <c r="I68" s="105"/>
      <c r="J68" s="105"/>
      <c r="K68" s="111"/>
      <c r="L68" s="71"/>
      <c r="Y68" s="3"/>
      <c r="Z68" s="3"/>
    </row>
    <row r="69" ht="12.75" customHeight="1">
      <c r="A69" s="152" t="s">
        <v>83</v>
      </c>
      <c r="B69" s="43"/>
      <c r="C69" s="54"/>
      <c r="D69" s="153" t="str">
        <f>'[1]Summary Page 1'!$C$49</f>
        <v>#REF!</v>
      </c>
      <c r="E69" s="153" t="str">
        <f>[1]!F001P200F2200SBBudgFY</f>
        <v>#ERROR!</v>
      </c>
      <c r="F69" s="155" t="str">
        <f>'[1]Summary Page 1'!$E$49</f>
        <v>#REF!</v>
      </c>
      <c r="G69" s="27"/>
      <c r="H69" s="156" t="str">
        <f>[1]!F001P200F2200OthBudgFY</f>
        <v>#ERROR!</v>
      </c>
      <c r="I69" s="126" t="str">
        <f t="shared" ref="I69:I73" si="6">D69+F69</f>
        <v>#REF!</v>
      </c>
      <c r="J69" s="156" t="str">
        <f t="shared" ref="J69:J73" si="7">E69+H69</f>
        <v>#ERROR!</v>
      </c>
      <c r="K69" s="157" t="str">
        <f t="shared" ref="K69:K78" si="8">IF(I69=J69,0,IF(I69&gt;0,(J69-I69)/I69,"--"))</f>
        <v>#REF!</v>
      </c>
      <c r="L69" s="27"/>
      <c r="Y69" s="3"/>
      <c r="Z69" s="3"/>
    </row>
    <row r="70" ht="12.75" customHeight="1">
      <c r="A70" s="152" t="s">
        <v>84</v>
      </c>
      <c r="B70" s="43"/>
      <c r="C70" s="158"/>
      <c r="D70" s="153" t="str">
        <f>'[1]Summary Page 1'!$C$50</f>
        <v>#REF!</v>
      </c>
      <c r="E70" s="153" t="str">
        <f>[1]!F001P200F230024002500SBBudgFY</f>
        <v>#ERROR!</v>
      </c>
      <c r="F70" s="155" t="str">
        <f>'[1]Summary Page 1'!$E$50</f>
        <v>#REF!</v>
      </c>
      <c r="G70" s="27"/>
      <c r="H70" s="126" t="str">
        <f>[1]!F001P200F230024002500OthBudgFY</f>
        <v>#ERROR!</v>
      </c>
      <c r="I70" s="126" t="str">
        <f t="shared" si="6"/>
        <v>#REF!</v>
      </c>
      <c r="J70" s="156" t="str">
        <f t="shared" si="7"/>
        <v>#ERROR!</v>
      </c>
      <c r="K70" s="157" t="str">
        <f t="shared" si="8"/>
        <v>#REF!</v>
      </c>
      <c r="L70" s="27"/>
      <c r="Y70" s="3"/>
      <c r="Z70" s="3"/>
    </row>
    <row r="71" ht="12.75" customHeight="1">
      <c r="A71" s="152" t="s">
        <v>85</v>
      </c>
      <c r="B71" s="43"/>
      <c r="C71" s="106"/>
      <c r="D71" s="153" t="str">
        <f>'[1]Summary Page 1'!$C$51</f>
        <v>#REF!</v>
      </c>
      <c r="E71" s="153" t="str">
        <f>[1]!F001P200F2600SBBudgFY</f>
        <v>#ERROR!</v>
      </c>
      <c r="F71" s="155" t="str">
        <f>'[1]Summary Page 1'!$E$51</f>
        <v>#REF!</v>
      </c>
      <c r="G71" s="27"/>
      <c r="H71" s="126" t="str">
        <f>[1]!F001P200F2600OthBudgFY</f>
        <v>#ERROR!</v>
      </c>
      <c r="I71" s="126" t="str">
        <f t="shared" si="6"/>
        <v>#REF!</v>
      </c>
      <c r="J71" s="156" t="str">
        <f t="shared" si="7"/>
        <v>#ERROR!</v>
      </c>
      <c r="K71" s="157" t="str">
        <f t="shared" si="8"/>
        <v>#REF!</v>
      </c>
      <c r="L71" s="27"/>
      <c r="Y71" s="3"/>
      <c r="Z71" s="3"/>
    </row>
    <row r="72" ht="12.75" customHeight="1">
      <c r="A72" s="146" t="s">
        <v>86</v>
      </c>
      <c r="B72" s="147"/>
      <c r="C72" s="54"/>
      <c r="D72" s="153" t="str">
        <f>'[1]Summary Page 1'!$C$52</f>
        <v>#REF!</v>
      </c>
      <c r="E72" s="153" t="str">
        <f>[1]!F001P200F2900SBBudgFY</f>
        <v>#ERROR!</v>
      </c>
      <c r="F72" s="155" t="str">
        <f>'[1]Summary Page 1'!$E$52</f>
        <v>#REF!</v>
      </c>
      <c r="G72" s="27"/>
      <c r="H72" s="126" t="str">
        <f>[1]!F001P200F2900OthBudgFY</f>
        <v>#ERROR!</v>
      </c>
      <c r="I72" s="126" t="str">
        <f t="shared" si="6"/>
        <v>#REF!</v>
      </c>
      <c r="J72" s="156" t="str">
        <f t="shared" si="7"/>
        <v>#ERROR!</v>
      </c>
      <c r="K72" s="157" t="str">
        <f t="shared" si="8"/>
        <v>#REF!</v>
      </c>
      <c r="L72" s="27"/>
      <c r="Y72" s="3"/>
      <c r="Z72" s="3"/>
    </row>
    <row r="73" ht="12.75" customHeight="1">
      <c r="A73" s="146" t="s">
        <v>87</v>
      </c>
      <c r="B73" s="147"/>
      <c r="C73" s="54"/>
      <c r="D73" s="153" t="str">
        <f>'[1]Summary Page 1'!$C$53</f>
        <v>#REF!</v>
      </c>
      <c r="E73" s="153" t="str">
        <f>[1]!F001P200F3000SBBudgFY</f>
        <v>#ERROR!</v>
      </c>
      <c r="F73" s="155" t="str">
        <f>'[1]Summary Page 1'!$E$53</f>
        <v>#REF!</v>
      </c>
      <c r="G73" s="27"/>
      <c r="H73" s="126" t="str">
        <f>[1]!F001P200F3000OthBudgFY</f>
        <v>#ERROR!</v>
      </c>
      <c r="I73" s="126" t="str">
        <f t="shared" si="6"/>
        <v>#REF!</v>
      </c>
      <c r="J73" s="156" t="str">
        <f t="shared" si="7"/>
        <v>#ERROR!</v>
      </c>
      <c r="K73" s="157" t="str">
        <f t="shared" si="8"/>
        <v>#REF!</v>
      </c>
      <c r="L73" s="27"/>
      <c r="Y73" s="3"/>
      <c r="Z73" s="3"/>
    </row>
    <row r="74" ht="12.75" customHeight="1">
      <c r="A74" s="159" t="s">
        <v>93</v>
      </c>
      <c r="B74" s="38"/>
      <c r="C74" s="54"/>
      <c r="D74" s="160" t="str">
        <f t="shared" ref="D74:F74" si="9">SUM(D65:D73)</f>
        <v>#REF!</v>
      </c>
      <c r="E74" s="160" t="str">
        <f t="shared" si="9"/>
        <v>#ERROR!</v>
      </c>
      <c r="F74" s="161" t="str">
        <f t="shared" si="9"/>
        <v>#REF!</v>
      </c>
      <c r="G74" s="27"/>
      <c r="H74" s="162" t="str">
        <f t="shared" ref="H74:J74" si="10">SUM(H65:H73)</f>
        <v>#ERROR!</v>
      </c>
      <c r="I74" s="126" t="str">
        <f t="shared" si="10"/>
        <v>#REF!</v>
      </c>
      <c r="J74" s="126" t="str">
        <f t="shared" si="10"/>
        <v>#ERROR!</v>
      </c>
      <c r="K74" s="157" t="str">
        <f t="shared" si="8"/>
        <v>#REF!</v>
      </c>
      <c r="L74" s="27"/>
      <c r="Y74" s="3"/>
      <c r="Z74" s="3"/>
    </row>
    <row r="75" ht="12.75" customHeight="1">
      <c r="A75" s="146" t="s">
        <v>94</v>
      </c>
      <c r="B75" s="147"/>
      <c r="C75" s="147"/>
      <c r="D75" s="153" t="str">
        <f>'[1]Summary Page 1'!$C$55</f>
        <v>#REF!</v>
      </c>
      <c r="E75" s="160" t="str">
        <f>[1]!F001P400SBBudgFY</f>
        <v>#ERROR!</v>
      </c>
      <c r="F75" s="155" t="str">
        <f>'[1]Summary Page 1'!$E$55</f>
        <v>#REF!</v>
      </c>
      <c r="G75" s="27"/>
      <c r="H75" s="162" t="str">
        <f>[1]!F001P400OthBudgFy</f>
        <v>#ERROR!</v>
      </c>
      <c r="I75" s="126" t="str">
        <f t="shared" ref="I75:I78" si="11">D75+F75</f>
        <v>#REF!</v>
      </c>
      <c r="J75" s="156" t="str">
        <f t="shared" ref="J75:J78" si="12">E75+H75</f>
        <v>#ERROR!</v>
      </c>
      <c r="K75" s="157" t="str">
        <f t="shared" si="8"/>
        <v>#REF!</v>
      </c>
      <c r="L75" s="27"/>
      <c r="Y75" s="3"/>
      <c r="Z75" s="3"/>
    </row>
    <row r="76" ht="12.75" customHeight="1">
      <c r="A76" s="152" t="s">
        <v>95</v>
      </c>
      <c r="B76" s="43"/>
      <c r="C76" s="43"/>
      <c r="D76" s="153" t="str">
        <f>'[1]Summary Page 1'!$C$56</f>
        <v>#REF!</v>
      </c>
      <c r="E76" s="160" t="str">
        <f>[1]!F001P510SBBudgFY</f>
        <v>#ERROR!</v>
      </c>
      <c r="F76" s="155" t="str">
        <f>'[1]Summary Page 1'!$E$56</f>
        <v>#REF!</v>
      </c>
      <c r="G76" s="27"/>
      <c r="H76" s="160" t="str">
        <f>[1]!F001P510OthBudgFY</f>
        <v>#ERROR!</v>
      </c>
      <c r="I76" s="153" t="str">
        <f t="shared" si="11"/>
        <v>#REF!</v>
      </c>
      <c r="J76" s="154" t="str">
        <f t="shared" si="12"/>
        <v>#ERROR!</v>
      </c>
      <c r="K76" s="163" t="str">
        <f t="shared" si="8"/>
        <v>#REF!</v>
      </c>
      <c r="L76" s="27"/>
      <c r="Y76" s="3"/>
      <c r="Z76" s="3"/>
    </row>
    <row r="77" ht="12.75" customHeight="1">
      <c r="A77" s="146" t="s">
        <v>96</v>
      </c>
      <c r="B77" s="147"/>
      <c r="C77" s="147"/>
      <c r="D77" s="153" t="str">
        <f>'[1]Summary Page 1'!$C$57</f>
        <v>#REF!</v>
      </c>
      <c r="E77" s="160" t="str">
        <f>[1]!F001P530SBBudgFY</f>
        <v>#ERROR!</v>
      </c>
      <c r="F77" s="155" t="str">
        <f>'[1]Summary Page 1'!$E$57</f>
        <v>#REF!</v>
      </c>
      <c r="G77" s="27"/>
      <c r="H77" s="162" t="str">
        <f>[1]!F001P530OthBudgFY</f>
        <v>#ERROR!</v>
      </c>
      <c r="I77" s="126" t="str">
        <f t="shared" si="11"/>
        <v>#REF!</v>
      </c>
      <c r="J77" s="156" t="str">
        <f t="shared" si="12"/>
        <v>#ERROR!</v>
      </c>
      <c r="K77" s="157" t="str">
        <f t="shared" si="8"/>
        <v>#REF!</v>
      </c>
      <c r="L77" s="27"/>
      <c r="Y77" s="3"/>
      <c r="Z77" s="3"/>
    </row>
    <row r="78" ht="12.75" customHeight="1">
      <c r="A78" s="146" t="s">
        <v>97</v>
      </c>
      <c r="B78" s="147"/>
      <c r="C78" s="164"/>
      <c r="D78" s="148" t="str">
        <f>'[1]Summary Page 1'!$C$59</f>
        <v>#REF!</v>
      </c>
      <c r="E78" s="165" t="str">
        <f>[1]!F001P540SBBudgFY</f>
        <v>#ERROR!</v>
      </c>
      <c r="F78" s="149" t="str">
        <f>'[1]Summary Page 1'!$E$59</f>
        <v>#REF!</v>
      </c>
      <c r="G78" s="99"/>
      <c r="H78" s="165" t="str">
        <f>[1]!F001P540OthBudgFY</f>
        <v>#ERROR!</v>
      </c>
      <c r="I78" s="150" t="str">
        <f t="shared" si="11"/>
        <v>#REF!</v>
      </c>
      <c r="J78" s="150" t="str">
        <f t="shared" si="12"/>
        <v>#ERROR!</v>
      </c>
      <c r="K78" s="151" t="str">
        <f t="shared" si="8"/>
        <v>#REF!</v>
      </c>
      <c r="L78" s="99"/>
      <c r="Y78" s="3"/>
      <c r="Z78" s="3"/>
    </row>
    <row r="79" ht="12.75" customHeight="1">
      <c r="A79" s="146" t="s">
        <v>98</v>
      </c>
      <c r="B79" s="147"/>
      <c r="C79" s="164"/>
      <c r="D79" s="105"/>
      <c r="E79" s="105"/>
      <c r="F79" s="111"/>
      <c r="G79" s="71"/>
      <c r="H79" s="105"/>
      <c r="I79" s="105"/>
      <c r="J79" s="105"/>
      <c r="K79" s="111"/>
      <c r="L79" s="71"/>
      <c r="Y79" s="3"/>
      <c r="Z79" s="3"/>
    </row>
    <row r="80" ht="12.75" customHeight="1">
      <c r="A80" s="152" t="s">
        <v>99</v>
      </c>
      <c r="B80" s="43"/>
      <c r="C80" s="164"/>
      <c r="D80" s="126" t="str">
        <f>'[1]Summary Page 1'!$C$60</f>
        <v>#REF!</v>
      </c>
      <c r="E80" s="166" t="str">
        <f>[1]!F001P550SBBudgFY</f>
        <v>#ERROR!</v>
      </c>
      <c r="F80" s="167" t="str">
        <f>'[1]Summary Page 1'!$E$60</f>
        <v>#REF!</v>
      </c>
      <c r="G80" s="27"/>
      <c r="H80" s="166" t="str">
        <f>[1]!F001P550OthBudgFY</f>
        <v>#ERROR!</v>
      </c>
      <c r="I80" s="126" t="str">
        <f>D80+F80</f>
        <v>#REF!</v>
      </c>
      <c r="J80" s="154" t="str">
        <f>E80+H80</f>
        <v>#ERROR!</v>
      </c>
      <c r="K80" s="163" t="str">
        <f t="shared" ref="K80:K81" si="15">IF(I80=J80,0,IF(I80&gt;0,(J80-I80)/I80,"--"))</f>
        <v>#REF!</v>
      </c>
      <c r="L80" s="27"/>
      <c r="Y80" s="3"/>
      <c r="Z80" s="3"/>
    </row>
    <row r="81" ht="12.75" customHeight="1">
      <c r="A81" s="122" t="s">
        <v>100</v>
      </c>
      <c r="B81" s="123"/>
      <c r="C81" s="168"/>
      <c r="D81" s="162" t="str">
        <f t="shared" ref="D81:F81" si="13">SUM(D74:D80)+D64</f>
        <v>#REF!</v>
      </c>
      <c r="E81" s="162" t="str">
        <f t="shared" si="13"/>
        <v>#ERROR!</v>
      </c>
      <c r="F81" s="169" t="str">
        <f t="shared" si="13"/>
        <v>#REF!</v>
      </c>
      <c r="G81" s="27"/>
      <c r="H81" s="162" t="str">
        <f t="shared" ref="H81:J81" si="14">SUM(H74:H80)+H64</f>
        <v>#ERROR!</v>
      </c>
      <c r="I81" s="162" t="str">
        <f t="shared" si="14"/>
        <v>#REF!</v>
      </c>
      <c r="J81" s="162" t="str">
        <f t="shared" si="14"/>
        <v>#ERROR!</v>
      </c>
      <c r="K81" s="157" t="str">
        <f t="shared" si="15"/>
        <v>#REF!</v>
      </c>
      <c r="L81" s="27"/>
      <c r="Y81" s="3"/>
      <c r="Z81" s="3"/>
    </row>
    <row r="82" ht="12.75" customHeight="1">
      <c r="A82" s="113"/>
      <c r="B82" s="113"/>
      <c r="C82" s="47"/>
      <c r="D82" s="170"/>
      <c r="E82" s="170"/>
      <c r="F82" s="170"/>
      <c r="G82" s="170"/>
      <c r="H82" s="170"/>
      <c r="I82" s="170"/>
      <c r="J82" s="170"/>
      <c r="K82" s="170"/>
      <c r="L82" s="171"/>
      <c r="Y82" s="3"/>
      <c r="Z82" s="3"/>
    </row>
    <row r="83" ht="12.75" customHeight="1">
      <c r="Y83" s="3"/>
      <c r="Z83" s="3"/>
    </row>
    <row r="84" ht="12.75" customHeight="1">
      <c r="A84" s="172" t="s">
        <v>101</v>
      </c>
      <c r="B84" s="20"/>
      <c r="C84" s="20"/>
      <c r="D84" s="20"/>
      <c r="E84" s="20"/>
      <c r="F84" s="20"/>
      <c r="G84" s="27"/>
      <c r="H84" s="173"/>
      <c r="I84" s="173"/>
      <c r="J84" s="48"/>
      <c r="K84" s="48"/>
      <c r="Y84" s="3"/>
      <c r="Z84" s="3"/>
    </row>
    <row r="85" ht="12.75" customHeight="1">
      <c r="A85" s="64"/>
      <c r="B85" s="54"/>
      <c r="C85" s="174"/>
      <c r="D85" s="175"/>
      <c r="E85" s="174" t="s">
        <v>102</v>
      </c>
      <c r="F85" s="137" t="s">
        <v>103</v>
      </c>
      <c r="G85" s="138"/>
      <c r="H85" s="176"/>
      <c r="I85" s="176"/>
      <c r="J85" s="176"/>
      <c r="K85" s="176"/>
      <c r="Y85" s="3"/>
      <c r="Z85" s="3"/>
    </row>
    <row r="86" ht="12.75" customHeight="1">
      <c r="A86" s="64"/>
      <c r="B86" s="54"/>
      <c r="C86" s="139" t="s">
        <v>104</v>
      </c>
      <c r="D86" s="140"/>
      <c r="E86" s="174" t="s">
        <v>105</v>
      </c>
      <c r="F86" s="141" t="s">
        <v>105</v>
      </c>
      <c r="G86" s="142"/>
      <c r="H86" s="176"/>
      <c r="I86" s="176"/>
      <c r="J86" s="176"/>
      <c r="K86" s="176"/>
      <c r="Y86" s="3"/>
      <c r="Z86" s="3"/>
    </row>
    <row r="87" ht="12.75" customHeight="1">
      <c r="A87" s="64" t="s">
        <v>106</v>
      </c>
      <c r="B87" s="54"/>
      <c r="C87" s="177"/>
      <c r="D87" s="143"/>
      <c r="E87" s="174" t="s">
        <v>77</v>
      </c>
      <c r="F87" s="141" t="s">
        <v>77</v>
      </c>
      <c r="G87" s="142"/>
      <c r="H87" s="176"/>
      <c r="I87" s="176"/>
      <c r="J87" s="176"/>
      <c r="K87" s="176"/>
      <c r="Y87" s="3"/>
      <c r="Z87" s="3"/>
    </row>
    <row r="88" ht="12.75" customHeight="1">
      <c r="A88" s="178"/>
      <c r="B88" s="179"/>
      <c r="C88" s="180" t="s">
        <v>59</v>
      </c>
      <c r="D88" s="181" t="s">
        <v>78</v>
      </c>
      <c r="E88" s="180" t="s">
        <v>107</v>
      </c>
      <c r="F88" s="139" t="s">
        <v>59</v>
      </c>
      <c r="G88" s="140"/>
      <c r="H88" s="176"/>
      <c r="I88" s="176"/>
      <c r="J88" s="176"/>
      <c r="K88" s="176"/>
      <c r="Y88" s="3"/>
      <c r="Z88" s="3"/>
    </row>
    <row r="89" ht="12.75" customHeight="1">
      <c r="A89" s="149" t="s">
        <v>108</v>
      </c>
      <c r="B89" s="182"/>
      <c r="C89" s="148" t="str">
        <f>[1]!SummMOPY</f>
        <v>#ERROR!</v>
      </c>
      <c r="D89" s="148" t="str">
        <f>[1]!SummMOBY</f>
        <v>#ERROR!</v>
      </c>
      <c r="E89" s="149" t="str">
        <f t="shared" ref="E89:E104" si="16">D89-C89</f>
        <v>#ERROR!</v>
      </c>
      <c r="F89" s="183" t="str">
        <f t="shared" ref="F89:F104" si="17">IF(C89=D89,0,IF(C89&gt;0,E89/C89,"--"))</f>
        <v>#ERROR!</v>
      </c>
      <c r="G89" s="27"/>
      <c r="H89" s="176"/>
      <c r="I89" s="176"/>
      <c r="J89" s="176"/>
      <c r="K89" s="176"/>
      <c r="Y89" s="3"/>
      <c r="Z89" s="3"/>
    </row>
    <row r="90" ht="12.75" customHeight="1">
      <c r="A90" s="184" t="s">
        <v>109</v>
      </c>
      <c r="B90" s="185"/>
      <c r="C90" s="153" t="str">
        <f>[1]!SummInstImprovPY</f>
        <v>#ERROR!</v>
      </c>
      <c r="D90" s="153" t="str">
        <f>[1]!SummInstImprovBY</f>
        <v>#ERROR!</v>
      </c>
      <c r="E90" s="149" t="str">
        <f t="shared" si="16"/>
        <v>#ERROR!</v>
      </c>
      <c r="F90" s="183" t="str">
        <f t="shared" si="17"/>
        <v>#ERROR!</v>
      </c>
      <c r="G90" s="27"/>
      <c r="H90" s="176"/>
      <c r="I90" s="176"/>
      <c r="J90" s="176"/>
      <c r="K90" s="176"/>
      <c r="Y90" s="3"/>
      <c r="Z90" s="3"/>
    </row>
    <row r="91" ht="12.75" customHeight="1">
      <c r="A91" s="184" t="s">
        <v>110</v>
      </c>
      <c r="B91" s="185"/>
      <c r="C91" s="153" t="str">
        <f>[1]!SummELLPY</f>
        <v>#ERROR!</v>
      </c>
      <c r="D91" s="153" t="str">
        <f>[1]!SummELLBY</f>
        <v>#ERROR!</v>
      </c>
      <c r="E91" s="149" t="str">
        <f t="shared" si="16"/>
        <v>#ERROR!</v>
      </c>
      <c r="F91" s="183" t="str">
        <f t="shared" si="17"/>
        <v>#ERROR!</v>
      </c>
      <c r="G91" s="27"/>
      <c r="H91" s="176"/>
      <c r="I91" s="176"/>
      <c r="J91" s="176"/>
      <c r="K91" s="176"/>
      <c r="Y91" s="3"/>
      <c r="Z91" s="3"/>
    </row>
    <row r="92" ht="12.75" customHeight="1">
      <c r="A92" s="184" t="s">
        <v>111</v>
      </c>
      <c r="B92" s="185"/>
      <c r="C92" s="153" t="str">
        <f>[1]!SummCompInstrPY</f>
        <v>#ERROR!</v>
      </c>
      <c r="D92" s="153" t="str">
        <f>[1]!SummCompInstrBY</f>
        <v>#ERROR!</v>
      </c>
      <c r="E92" s="125" t="str">
        <f t="shared" si="16"/>
        <v>#ERROR!</v>
      </c>
      <c r="F92" s="186" t="str">
        <f t="shared" si="17"/>
        <v>#ERROR!</v>
      </c>
      <c r="G92" s="27"/>
      <c r="H92" s="176"/>
      <c r="I92" s="176"/>
      <c r="J92" s="176"/>
      <c r="K92" s="176"/>
      <c r="Y92" s="3"/>
      <c r="Z92" s="3"/>
    </row>
    <row r="93" ht="12.75" customHeight="1">
      <c r="A93" s="187" t="s">
        <v>112</v>
      </c>
      <c r="B93" s="93"/>
      <c r="C93" s="162" t="str">
        <f>[1]!SummCSFPY</f>
        <v>#ERROR!</v>
      </c>
      <c r="D93" s="162" t="str">
        <f>[1]!SummCSFBY</f>
        <v>#ERROR!</v>
      </c>
      <c r="E93" s="125" t="str">
        <f t="shared" si="16"/>
        <v>#ERROR!</v>
      </c>
      <c r="F93" s="186" t="str">
        <f t="shared" si="17"/>
        <v>#ERROR!</v>
      </c>
      <c r="G93" s="27"/>
      <c r="H93" s="176"/>
      <c r="I93" s="176"/>
      <c r="J93" s="176"/>
      <c r="K93" s="176"/>
      <c r="Y93" s="3"/>
      <c r="Z93" s="3"/>
    </row>
    <row r="94" ht="12.75" customHeight="1">
      <c r="A94" s="188" t="s">
        <v>113</v>
      </c>
      <c r="B94" s="189"/>
      <c r="C94" s="156" t="str">
        <f>[1]!SummFedProjectsPY</f>
        <v>#ERROR!</v>
      </c>
      <c r="D94" s="156" t="str">
        <f>[1]!SummFedProjectsBY</f>
        <v>#ERROR!</v>
      </c>
      <c r="E94" s="190" t="str">
        <f t="shared" si="16"/>
        <v>#ERROR!</v>
      </c>
      <c r="F94" s="186" t="str">
        <f t="shared" si="17"/>
        <v>#ERROR!</v>
      </c>
      <c r="G94" s="27"/>
      <c r="H94" s="176"/>
      <c r="I94" s="176"/>
      <c r="J94" s="176"/>
      <c r="K94" s="176"/>
      <c r="Y94" s="3"/>
      <c r="Z94" s="3"/>
    </row>
    <row r="95" ht="12.75" customHeight="1">
      <c r="A95" s="191" t="s">
        <v>114</v>
      </c>
      <c r="B95" s="192"/>
      <c r="C95" s="126" t="str">
        <f>[1]!SummStateProjectsPY</f>
        <v>#ERROR!</v>
      </c>
      <c r="D95" s="126" t="str">
        <f>[1]!SummStateProjectsBY</f>
        <v>#ERROR!</v>
      </c>
      <c r="E95" s="125" t="str">
        <f t="shared" si="16"/>
        <v>#ERROR!</v>
      </c>
      <c r="F95" s="186" t="str">
        <f t="shared" si="17"/>
        <v>#ERROR!</v>
      </c>
      <c r="G95" s="27"/>
      <c r="H95" s="176"/>
      <c r="I95" s="176"/>
      <c r="J95" s="176"/>
      <c r="K95" s="176"/>
      <c r="Y95" s="3"/>
      <c r="Z95" s="3"/>
    </row>
    <row r="96" ht="12.75" customHeight="1">
      <c r="A96" s="188" t="s">
        <v>115</v>
      </c>
      <c r="B96" s="189"/>
      <c r="C96" s="126" t="str">
        <f>[1]!SummUCOPY</f>
        <v>#ERROR!</v>
      </c>
      <c r="D96" s="126" t="str">
        <f>[1]!SummUCOBY</f>
        <v>#ERROR!</v>
      </c>
      <c r="E96" s="125" t="str">
        <f t="shared" si="16"/>
        <v>#ERROR!</v>
      </c>
      <c r="F96" s="186" t="str">
        <f t="shared" si="17"/>
        <v>#ERROR!</v>
      </c>
      <c r="G96" s="27"/>
      <c r="H96" s="47"/>
      <c r="I96" s="47"/>
      <c r="J96" s="47"/>
      <c r="K96" s="47"/>
      <c r="Y96" s="3"/>
      <c r="Z96" s="3"/>
    </row>
    <row r="97" ht="12.75" customHeight="1">
      <c r="A97" s="188" t="s">
        <v>116</v>
      </c>
      <c r="B97" s="189"/>
      <c r="C97" s="126" t="str">
        <f>[1]!SummNSFPY</f>
        <v>#ERROR!</v>
      </c>
      <c r="D97" s="126" t="str">
        <f>[1]!SummNSFBY</f>
        <v>#ERROR!</v>
      </c>
      <c r="E97" s="125" t="str">
        <f t="shared" si="16"/>
        <v>#ERROR!</v>
      </c>
      <c r="F97" s="186" t="str">
        <f t="shared" si="17"/>
        <v>#ERROR!</v>
      </c>
      <c r="G97" s="27"/>
      <c r="H97" s="176"/>
      <c r="I97" s="176"/>
      <c r="J97" s="176"/>
      <c r="K97" s="176"/>
      <c r="Y97" s="3"/>
      <c r="Z97" s="3"/>
    </row>
    <row r="98" ht="12.75" customHeight="1">
      <c r="A98" s="188" t="s">
        <v>117</v>
      </c>
      <c r="B98" s="189"/>
      <c r="C98" s="126" t="str">
        <f>[1]!SummAdjacentWaysPY</f>
        <v>#ERROR!</v>
      </c>
      <c r="D98" s="126" t="str">
        <f>[1]!SummAdjacentWaysBY</f>
        <v>#ERROR!</v>
      </c>
      <c r="E98" s="125" t="str">
        <f t="shared" si="16"/>
        <v>#ERROR!</v>
      </c>
      <c r="F98" s="186" t="str">
        <f t="shared" si="17"/>
        <v>#ERROR!</v>
      </c>
      <c r="G98" s="27"/>
      <c r="H98" s="176"/>
      <c r="I98" s="176"/>
      <c r="J98" s="176"/>
      <c r="K98" s="176"/>
      <c r="Y98" s="3"/>
      <c r="Z98" s="3"/>
    </row>
    <row r="99" ht="12.75" customHeight="1">
      <c r="A99" s="188" t="s">
        <v>118</v>
      </c>
      <c r="B99" s="189"/>
      <c r="C99" s="126" t="str">
        <f>[1]!SummDebtServicePY</f>
        <v>#ERROR!</v>
      </c>
      <c r="D99" s="126" t="str">
        <f>[1]!SumDebtServiceBY</f>
        <v>#ERROR!</v>
      </c>
      <c r="E99" s="125" t="str">
        <f t="shared" si="16"/>
        <v>#ERROR!</v>
      </c>
      <c r="F99" s="186" t="str">
        <f t="shared" si="17"/>
        <v>#ERROR!</v>
      </c>
      <c r="G99" s="27"/>
      <c r="H99" s="176"/>
      <c r="I99" s="176"/>
      <c r="J99" s="176"/>
      <c r="K99" s="176"/>
      <c r="Y99" s="3"/>
      <c r="Z99" s="3"/>
    </row>
    <row r="100" ht="12.75" customHeight="1">
      <c r="A100" s="187" t="s">
        <v>119</v>
      </c>
      <c r="B100" s="92"/>
      <c r="C100" s="153" t="str">
        <f>[1]!SummSchoolPlantPY</f>
        <v>#ERROR!</v>
      </c>
      <c r="D100" s="126" t="str">
        <f>[1]!SummSchoolPlantBY</f>
        <v>#ERROR!</v>
      </c>
      <c r="E100" s="125" t="str">
        <f t="shared" si="16"/>
        <v>#ERROR!</v>
      </c>
      <c r="F100" s="186" t="str">
        <f t="shared" si="17"/>
        <v>#ERROR!</v>
      </c>
      <c r="G100" s="27"/>
      <c r="H100" s="176"/>
      <c r="I100" s="176"/>
      <c r="J100" s="176"/>
      <c r="K100" s="176"/>
      <c r="Y100" s="3"/>
      <c r="Z100" s="3"/>
    </row>
    <row r="101" ht="12.75" customHeight="1">
      <c r="A101" s="188" t="s">
        <v>120</v>
      </c>
      <c r="B101" s="189"/>
      <c r="C101" s="126" t="str">
        <f>[1]!SummAuxOpsPY</f>
        <v>#ERROR!</v>
      </c>
      <c r="D101" s="126" t="str">
        <f>[1]!SummAuxOpsBY</f>
        <v>#ERROR!</v>
      </c>
      <c r="E101" s="125" t="str">
        <f t="shared" si="16"/>
        <v>#ERROR!</v>
      </c>
      <c r="F101" s="186" t="str">
        <f t="shared" si="17"/>
        <v>#ERROR!</v>
      </c>
      <c r="G101" s="27"/>
      <c r="H101" s="176"/>
      <c r="I101" s="176"/>
      <c r="J101" s="176"/>
      <c r="K101" s="176"/>
      <c r="Y101" s="3"/>
      <c r="Z101" s="3"/>
    </row>
    <row r="102" ht="12.75" customHeight="1">
      <c r="A102" s="188" t="s">
        <v>121</v>
      </c>
      <c r="B102" s="189"/>
      <c r="C102" s="126" t="str">
        <f>[1]!SummBondBuildingPY</f>
        <v>#ERROR!</v>
      </c>
      <c r="D102" s="126" t="str">
        <f>[1]!SummBondBuildingBY</f>
        <v>#ERROR!</v>
      </c>
      <c r="E102" s="125" t="str">
        <f t="shared" si="16"/>
        <v>#ERROR!</v>
      </c>
      <c r="F102" s="186" t="str">
        <f t="shared" si="17"/>
        <v>#ERROR!</v>
      </c>
      <c r="G102" s="27"/>
      <c r="H102" s="176"/>
      <c r="I102" s="176"/>
      <c r="J102" s="176"/>
      <c r="K102" s="176"/>
      <c r="Y102" s="3"/>
      <c r="Z102" s="3"/>
    </row>
    <row r="103" ht="12.75" customHeight="1">
      <c r="A103" s="188" t="s">
        <v>122</v>
      </c>
      <c r="B103" s="189"/>
      <c r="C103" s="126" t="str">
        <f>[1]!SummFoodServicePY</f>
        <v>#ERROR!</v>
      </c>
      <c r="D103" s="126" t="str">
        <f>[1]!SummFoodServiceBY</f>
        <v>#ERROR!</v>
      </c>
      <c r="E103" s="125" t="str">
        <f t="shared" si="16"/>
        <v>#ERROR!</v>
      </c>
      <c r="F103" s="186" t="str">
        <f t="shared" si="17"/>
        <v>#ERROR!</v>
      </c>
      <c r="G103" s="27"/>
      <c r="H103" s="176"/>
      <c r="I103" s="176"/>
      <c r="J103" s="176"/>
      <c r="K103" s="176"/>
      <c r="Y103" s="3"/>
      <c r="Z103" s="3"/>
    </row>
    <row r="104" ht="12.75" customHeight="1">
      <c r="A104" s="193" t="s">
        <v>75</v>
      </c>
      <c r="B104" s="194"/>
      <c r="C104" s="153" t="str">
        <f>[1]!SummOtherPY</f>
        <v>#ERROR!</v>
      </c>
      <c r="D104" s="153" t="str">
        <f>[1]!SummOtherBY</f>
        <v>#ERROR!</v>
      </c>
      <c r="E104" s="155" t="str">
        <f t="shared" si="16"/>
        <v>#ERROR!</v>
      </c>
      <c r="F104" s="183" t="str">
        <f t="shared" si="17"/>
        <v>#ERROR!</v>
      </c>
      <c r="G104" s="27"/>
      <c r="H104" s="176"/>
      <c r="I104" s="176"/>
      <c r="J104" s="176"/>
      <c r="K104" s="176"/>
      <c r="Y104" s="3"/>
      <c r="Z104" s="3"/>
    </row>
    <row r="105" ht="12.0" customHeight="1">
      <c r="A105" s="47"/>
      <c r="B105" s="47"/>
      <c r="C105" s="47"/>
      <c r="D105" s="47"/>
      <c r="E105" s="47"/>
      <c r="F105" s="47"/>
      <c r="G105" s="47"/>
      <c r="H105" s="47"/>
      <c r="I105" s="176"/>
      <c r="J105" s="176"/>
      <c r="K105" s="176"/>
      <c r="L105" s="176"/>
      <c r="M105" s="176"/>
      <c r="Y105" s="3"/>
      <c r="Z105" s="3"/>
    </row>
    <row r="106" ht="13.5" customHeight="1">
      <c r="A106" s="133" t="s">
        <v>123</v>
      </c>
      <c r="B106" s="20"/>
      <c r="C106" s="20"/>
      <c r="D106" s="20"/>
      <c r="E106" s="27"/>
      <c r="M106" s="176"/>
      <c r="Y106" s="3"/>
      <c r="Z106" s="3"/>
    </row>
    <row r="107" ht="12.75" customHeight="1">
      <c r="A107" s="133" t="s">
        <v>124</v>
      </c>
      <c r="B107" s="20"/>
      <c r="C107" s="27"/>
      <c r="D107" s="181" t="s">
        <v>59</v>
      </c>
      <c r="E107" s="181" t="s">
        <v>78</v>
      </c>
      <c r="Y107" s="3"/>
      <c r="Z107" s="3"/>
    </row>
    <row r="108" ht="12.75" customHeight="1">
      <c r="A108" s="81" t="s">
        <v>125</v>
      </c>
      <c r="B108" s="195"/>
      <c r="C108" s="196"/>
      <c r="D108" s="197" t="str">
        <f>[1]!SummAllDisabilityPY</f>
        <v>#ERROR!</v>
      </c>
      <c r="E108" s="197" t="str">
        <f>[1]!SummAllDisabilityBY</f>
        <v>#ERROR!</v>
      </c>
      <c r="Y108" s="3"/>
      <c r="Z108" s="3"/>
    </row>
    <row r="109" ht="12.75" customHeight="1">
      <c r="A109" s="188" t="s">
        <v>126</v>
      </c>
      <c r="B109" s="48"/>
      <c r="C109" s="164"/>
      <c r="D109" s="154" t="str">
        <f>[1]!SummGiftedPY</f>
        <v>#ERROR!</v>
      </c>
      <c r="E109" s="154" t="str">
        <f>[1]!SummGiftedBY</f>
        <v>#ERROR!</v>
      </c>
      <c r="Y109" s="3"/>
      <c r="Z109" s="3"/>
    </row>
    <row r="110" ht="12.75" customHeight="1">
      <c r="A110" s="188" t="s">
        <v>127</v>
      </c>
      <c r="B110" s="48"/>
      <c r="C110" s="164"/>
      <c r="D110" s="154" t="str">
        <f>[1]!SummRemedialPY</f>
        <v>#ERROR!</v>
      </c>
      <c r="E110" s="154" t="str">
        <f>[1]!SummRemedialBY</f>
        <v>#ERROR!</v>
      </c>
      <c r="Y110" s="3"/>
      <c r="Z110" s="3"/>
    </row>
    <row r="111" ht="12.75" customHeight="1">
      <c r="A111" s="184" t="s">
        <v>128</v>
      </c>
      <c r="B111" s="185"/>
      <c r="C111" s="164"/>
      <c r="D111" s="154" t="str">
        <f>[1]!SummELLIncrementalPY</f>
        <v>#ERROR!</v>
      </c>
      <c r="E111" s="154" t="str">
        <f>[1]!SummELLIncrementalBY</f>
        <v>#ERROR!</v>
      </c>
      <c r="Y111" s="3"/>
      <c r="Z111" s="3"/>
    </row>
    <row r="112" ht="12.75" customHeight="1">
      <c r="A112" s="184" t="s">
        <v>129</v>
      </c>
      <c r="B112" s="185"/>
      <c r="C112" s="164"/>
      <c r="D112" s="154" t="str">
        <f>[1]!SPEDELLCompInstrCurrFY</f>
        <v>#ERROR!</v>
      </c>
      <c r="E112" s="154" t="str">
        <f>[1]!SummELLCompInstBY</f>
        <v>#ERROR!</v>
      </c>
      <c r="Y112" s="3"/>
      <c r="Z112" s="3"/>
    </row>
    <row r="113" ht="12.75" customHeight="1">
      <c r="A113" s="188" t="s">
        <v>130</v>
      </c>
      <c r="B113" s="48"/>
      <c r="C113" s="164"/>
      <c r="D113" s="154" t="str">
        <f>[1]!SummVocandTechEdPY</f>
        <v>#ERROR!</v>
      </c>
      <c r="E113" s="154" t="str">
        <f>[1]!SummVocandTechEdBY</f>
        <v>#ERROR!</v>
      </c>
      <c r="Y113" s="3"/>
      <c r="Z113" s="3"/>
    </row>
    <row r="114" ht="12.75" customHeight="1">
      <c r="A114" s="188" t="s">
        <v>131</v>
      </c>
      <c r="B114" s="48"/>
      <c r="C114" s="164"/>
      <c r="D114" s="153" t="str">
        <f>[1]!SummCareerEdPY</f>
        <v>#ERROR!</v>
      </c>
      <c r="E114" s="153" t="str">
        <f>[1]!SummCareerEdBY</f>
        <v>#ERROR!</v>
      </c>
      <c r="Y114" s="3"/>
      <c r="Z114" s="3"/>
    </row>
    <row r="115" ht="12.75" customHeight="1">
      <c r="A115" s="184" t="s">
        <v>132</v>
      </c>
      <c r="B115" s="185"/>
      <c r="C115" s="164"/>
      <c r="D115" s="198" t="str">
        <f>[1]!SummCTEDPY</f>
        <v>#ERROR!</v>
      </c>
      <c r="E115" s="198" t="str">
        <f>[1]!SummCTEDBY</f>
        <v>#ERROR!</v>
      </c>
      <c r="Y115" s="3"/>
      <c r="Z115" s="3"/>
    </row>
    <row r="116" ht="12.75" customHeight="1">
      <c r="A116" s="199" t="s">
        <v>133</v>
      </c>
      <c r="B116" s="200"/>
      <c r="C116" s="201"/>
      <c r="D116" s="202" t="str">
        <f>[1]!SummSpecEdTotalPY</f>
        <v>#ERROR!</v>
      </c>
      <c r="E116" s="202" t="str">
        <f>[1]!SummSpecEdTotalBY</f>
        <v>#ERROR!</v>
      </c>
      <c r="Y116" s="3"/>
      <c r="Z116" s="3"/>
    </row>
    <row r="117" ht="12.0" customHeight="1">
      <c r="A117" s="35"/>
      <c r="B117" s="35"/>
      <c r="C117" s="35"/>
      <c r="D117" s="35"/>
      <c r="E117" s="170"/>
      <c r="Y117" s="3"/>
      <c r="Z117" s="3"/>
    </row>
    <row r="118" ht="12.75" customHeight="1">
      <c r="A118" s="133" t="s">
        <v>134</v>
      </c>
      <c r="B118" s="20"/>
      <c r="C118" s="20"/>
      <c r="D118" s="20"/>
      <c r="E118" s="20"/>
      <c r="F118" s="20"/>
      <c r="G118" s="20"/>
      <c r="H118" s="20"/>
      <c r="I118" s="27"/>
      <c r="Y118" s="3"/>
      <c r="Z118" s="3"/>
    </row>
    <row r="119" ht="12.75" customHeight="1">
      <c r="A119" s="133" t="s">
        <v>135</v>
      </c>
      <c r="B119" s="20"/>
      <c r="C119" s="27"/>
      <c r="D119" s="203" t="s">
        <v>136</v>
      </c>
      <c r="E119" s="204" t="s">
        <v>137</v>
      </c>
      <c r="F119" s="205" t="s">
        <v>138</v>
      </c>
      <c r="G119" s="27"/>
      <c r="H119" s="133" t="s">
        <v>139</v>
      </c>
      <c r="I119" s="27"/>
      <c r="Y119" s="3"/>
      <c r="Z119" s="3"/>
    </row>
    <row r="120" ht="12.75" customHeight="1">
      <c r="A120" s="188" t="s">
        <v>140</v>
      </c>
      <c r="B120" s="3"/>
      <c r="C120" s="48"/>
      <c r="G120" s="48"/>
      <c r="H120" s="206"/>
      <c r="I120" s="207"/>
      <c r="Y120" s="3"/>
      <c r="Z120" s="3"/>
    </row>
    <row r="121" ht="12.75" customHeight="1">
      <c r="A121" s="188" t="s">
        <v>141</v>
      </c>
      <c r="B121" s="3"/>
      <c r="C121" s="47"/>
      <c r="D121" s="208" t="str">
        <f>[1]!ContractFTEAdmin</f>
        <v>#ERROR!</v>
      </c>
      <c r="E121" s="208" t="str">
        <f>[1]!EmployeeFTEAdmin</f>
        <v>#ERROR!</v>
      </c>
      <c r="F121" s="209" t="str">
        <f>[1]!TotalFTEAdmin</f>
        <v>#ERROR!</v>
      </c>
      <c r="G121" s="27"/>
      <c r="H121" s="210" t="s">
        <v>142</v>
      </c>
      <c r="I121" s="211" t="str">
        <f>[1]!RatioAdmin</f>
        <v>#ERROR!</v>
      </c>
      <c r="Y121" s="3"/>
      <c r="Z121" s="3"/>
    </row>
    <row r="122" ht="12.75" customHeight="1">
      <c r="A122" s="188" t="s">
        <v>143</v>
      </c>
      <c r="B122" s="3"/>
      <c r="C122" s="47"/>
      <c r="D122" s="208" t="str">
        <f>[1]!ContractFTETeachers</f>
        <v>#ERROR!</v>
      </c>
      <c r="E122" s="208" t="str">
        <f>[1]!EmployeeFTETeachers</f>
        <v>#ERROR!</v>
      </c>
      <c r="F122" s="209" t="str">
        <f>[1]!TotalFTETeachers</f>
        <v>#ERROR!</v>
      </c>
      <c r="G122" s="27"/>
      <c r="H122" s="212" t="s">
        <v>142</v>
      </c>
      <c r="I122" s="211" t="str">
        <f>[1]!RatioTeachers</f>
        <v>#ERROR!</v>
      </c>
      <c r="Y122" s="3"/>
      <c r="Z122" s="3"/>
    </row>
    <row r="123" ht="12.75" customHeight="1">
      <c r="A123" s="188" t="s">
        <v>75</v>
      </c>
      <c r="B123" s="3"/>
      <c r="C123" s="47"/>
      <c r="D123" s="208" t="str">
        <f>[1]!ContractFTECertOther</f>
        <v>#ERROR!</v>
      </c>
      <c r="E123" s="208" t="str">
        <f>[1]!EmployeeFTECertOther</f>
        <v>#ERROR!</v>
      </c>
      <c r="F123" s="209" t="str">
        <f>[1]!TotalFTECertOther</f>
        <v>#ERROR!</v>
      </c>
      <c r="G123" s="27"/>
      <c r="H123" s="212" t="s">
        <v>142</v>
      </c>
      <c r="I123" s="211" t="str">
        <f>[1]!RatioCertOther</f>
        <v>#ERROR!</v>
      </c>
      <c r="Y123" s="3"/>
      <c r="Z123" s="3"/>
    </row>
    <row r="124" ht="12.75" customHeight="1">
      <c r="A124" s="213" t="s">
        <v>144</v>
      </c>
      <c r="B124" s="3"/>
      <c r="C124" s="3"/>
      <c r="D124" s="208" t="str">
        <f>[1]!ContractFTECertSubtotal</f>
        <v>#ERROR!</v>
      </c>
      <c r="E124" s="208" t="str">
        <f>[1]!EmployeeFTECertSubtotal</f>
        <v>#ERROR!</v>
      </c>
      <c r="F124" s="209" t="str">
        <f>[1]!TotalFTECertSubtotal</f>
        <v>#ERROR!</v>
      </c>
      <c r="G124" s="27"/>
      <c r="H124" s="212" t="s">
        <v>142</v>
      </c>
      <c r="I124" s="211" t="str">
        <f>[1]!RatioCertSubtotal</f>
        <v>#ERROR!</v>
      </c>
      <c r="Y124" s="3"/>
      <c r="Z124" s="3"/>
    </row>
    <row r="125" ht="12.75" customHeight="1">
      <c r="A125" s="188" t="s">
        <v>145</v>
      </c>
      <c r="B125" s="3"/>
      <c r="C125" s="48"/>
      <c r="D125" s="92"/>
      <c r="E125" s="92"/>
      <c r="F125" s="3"/>
      <c r="H125" s="214"/>
      <c r="I125" s="211"/>
      <c r="Y125" s="3"/>
      <c r="Z125" s="3"/>
    </row>
    <row r="126" ht="12.75" customHeight="1">
      <c r="A126" s="188" t="s">
        <v>146</v>
      </c>
      <c r="B126" s="3"/>
      <c r="C126" s="47"/>
      <c r="D126" s="208" t="str">
        <f>[1]!ContractFTEManagers</f>
        <v>#ERROR!</v>
      </c>
      <c r="E126" s="208" t="str">
        <f>[1]!EmployeeFTEManagers</f>
        <v>#ERROR!</v>
      </c>
      <c r="F126" s="209" t="str">
        <f>[1]!TotalFTEManagers</f>
        <v>#ERROR!</v>
      </c>
      <c r="G126" s="27"/>
      <c r="H126" s="215" t="s">
        <v>142</v>
      </c>
      <c r="I126" s="211" t="str">
        <f>[1]!RatioManagers</f>
        <v>#ERROR!</v>
      </c>
      <c r="Y126" s="3"/>
      <c r="Z126" s="3"/>
    </row>
    <row r="127" ht="12.75" customHeight="1">
      <c r="A127" s="188" t="s">
        <v>147</v>
      </c>
      <c r="B127" s="3"/>
      <c r="C127" s="47"/>
      <c r="D127" s="208" t="str">
        <f>[1]!ContractFTETeachersAids</f>
        <v>#ERROR!</v>
      </c>
      <c r="E127" s="208" t="str">
        <f>[1]!EmployeeFTETeachersAides</f>
        <v>#ERROR!</v>
      </c>
      <c r="F127" s="209" t="str">
        <f>[1]!TotalFTETeachersAides</f>
        <v>#ERROR!</v>
      </c>
      <c r="G127" s="27"/>
      <c r="H127" s="212" t="s">
        <v>142</v>
      </c>
      <c r="I127" s="211" t="str">
        <f>[1]!RatioTeachersAides</f>
        <v>#ERROR!</v>
      </c>
      <c r="Y127" s="3"/>
      <c r="Z127" s="3"/>
    </row>
    <row r="128" ht="12.75" customHeight="1">
      <c r="A128" s="188" t="s">
        <v>75</v>
      </c>
      <c r="B128" s="3"/>
      <c r="C128" s="47"/>
      <c r="D128" s="208" t="str">
        <f>[1]!ContractFTEClassOther</f>
        <v>#ERROR!</v>
      </c>
      <c r="E128" s="208" t="str">
        <f>[1]!EmployeeFTEClassOther</f>
        <v>#ERROR!</v>
      </c>
      <c r="F128" s="209" t="str">
        <f>[1]!TotalFTEClassOther</f>
        <v>#ERROR!</v>
      </c>
      <c r="G128" s="27"/>
      <c r="H128" s="212" t="s">
        <v>142</v>
      </c>
      <c r="I128" s="211" t="str">
        <f>[1]!RatioClassOther</f>
        <v>#ERROR!</v>
      </c>
      <c r="Y128" s="3"/>
      <c r="Z128" s="3"/>
    </row>
    <row r="129" ht="12.75" customHeight="1">
      <c r="A129" s="213" t="s">
        <v>144</v>
      </c>
      <c r="B129" s="3"/>
      <c r="C129" s="3"/>
      <c r="D129" s="208" t="str">
        <f>[1]!ContractFTEClassSubtotal</f>
        <v>#ERROR!</v>
      </c>
      <c r="E129" s="208" t="str">
        <f>[1]!EmployeeFTEClassSubtotal</f>
        <v>#ERROR!</v>
      </c>
      <c r="F129" s="209" t="str">
        <f>[1]!TotalFTEClassSubtotal</f>
        <v>#ERROR!</v>
      </c>
      <c r="G129" s="27"/>
      <c r="H129" s="212" t="s">
        <v>142</v>
      </c>
      <c r="I129" s="211" t="str">
        <f>[1]!RatioClassSubtotal</f>
        <v>#ERROR!</v>
      </c>
      <c r="Y129" s="3"/>
      <c r="Z129" s="3"/>
    </row>
    <row r="130" ht="12.75" customHeight="1">
      <c r="A130" s="213" t="s">
        <v>148</v>
      </c>
      <c r="B130" s="3"/>
      <c r="C130" s="3"/>
      <c r="D130" s="208" t="str">
        <f>[1]!ContractFTETotal</f>
        <v>#ERROR!</v>
      </c>
      <c r="E130" s="208" t="str">
        <f>[1]!EmployeeFTETotal</f>
        <v>#ERROR!</v>
      </c>
      <c r="F130" s="209" t="str">
        <f>[1]!TotalFTETotal</f>
        <v>#ERROR!</v>
      </c>
      <c r="G130" s="27"/>
      <c r="H130" s="212" t="s">
        <v>142</v>
      </c>
      <c r="I130" s="211" t="str">
        <f>[1]!RatioTotal</f>
        <v>#ERROR!</v>
      </c>
      <c r="Y130" s="3"/>
      <c r="Z130" s="3"/>
    </row>
    <row r="131" ht="12.75" customHeight="1">
      <c r="A131" s="213"/>
      <c r="B131" s="3"/>
      <c r="C131" s="214"/>
      <c r="D131" s="92"/>
      <c r="E131" s="92"/>
      <c r="F131" s="3"/>
      <c r="H131" s="216"/>
      <c r="I131" s="217"/>
      <c r="Y131" s="3"/>
      <c r="Z131" s="3"/>
    </row>
    <row r="132" ht="12.75" customHeight="1">
      <c r="A132" s="213" t="s">
        <v>149</v>
      </c>
      <c r="B132" s="3"/>
      <c r="C132" s="214"/>
      <c r="D132" s="92"/>
      <c r="E132" s="92"/>
      <c r="F132" s="3"/>
      <c r="H132" s="216"/>
      <c r="I132" s="218"/>
      <c r="Y132" s="3"/>
      <c r="Z132" s="3"/>
    </row>
    <row r="133" ht="12.75" customHeight="1">
      <c r="A133" s="213" t="s">
        <v>150</v>
      </c>
      <c r="B133" s="3"/>
      <c r="C133" s="48"/>
      <c r="D133" s="208" t="str">
        <f>[1]!ContractFTESpecEdTeacher</f>
        <v>#ERROR!</v>
      </c>
      <c r="E133" s="208" t="str">
        <f>[1]!EmployeeFTESpecEdTeacher</f>
        <v>#ERROR!</v>
      </c>
      <c r="F133" s="209" t="str">
        <f>[1]!TotalFTESpecEdTeacher</f>
        <v>#ERROR!</v>
      </c>
      <c r="G133" s="27"/>
      <c r="H133" s="219" t="s">
        <v>151</v>
      </c>
      <c r="I133" s="220" t="str">
        <f>[1]!SPEDTeacher</f>
        <v>#ERROR!</v>
      </c>
      <c r="Y133" s="3"/>
      <c r="Z133" s="3"/>
    </row>
    <row r="134" ht="12.75" customHeight="1">
      <c r="A134" s="199" t="s">
        <v>152</v>
      </c>
      <c r="B134" s="124"/>
      <c r="C134" s="221"/>
      <c r="D134" s="208" t="str">
        <f>[1]!ContractFTESpecEdStaff</f>
        <v>#ERROR!</v>
      </c>
      <c r="E134" s="208" t="str">
        <f>[1]!EmployeeFTESpecEdStaff</f>
        <v>#ERROR!</v>
      </c>
      <c r="F134" s="209" t="str">
        <f>[1]!TotalFTESpecEdStaff</f>
        <v>#ERROR!</v>
      </c>
      <c r="G134" s="27"/>
      <c r="H134" s="219" t="s">
        <v>151</v>
      </c>
      <c r="I134" s="222" t="str">
        <f>[1]!SPEDStaff</f>
        <v>#ERROR!</v>
      </c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7">
    <mergeCell ref="K50:L50"/>
    <mergeCell ref="K51:L51"/>
    <mergeCell ref="I48:J48"/>
    <mergeCell ref="D49:E49"/>
    <mergeCell ref="F49:H49"/>
    <mergeCell ref="I49:J49"/>
    <mergeCell ref="K49:L49"/>
    <mergeCell ref="F50:G50"/>
    <mergeCell ref="F51:G51"/>
    <mergeCell ref="A3:L3"/>
    <mergeCell ref="C5:D5"/>
    <mergeCell ref="I5:J5"/>
    <mergeCell ref="A7:L7"/>
    <mergeCell ref="C8:I8"/>
    <mergeCell ref="C9:D9"/>
    <mergeCell ref="F9:I9"/>
    <mergeCell ref="C10:D10"/>
    <mergeCell ref="A12:L12"/>
    <mergeCell ref="C13:D13"/>
    <mergeCell ref="I13:J13"/>
    <mergeCell ref="C14:D14"/>
    <mergeCell ref="I14:J14"/>
    <mergeCell ref="A16:L16"/>
    <mergeCell ref="A18:F18"/>
    <mergeCell ref="A19:L19"/>
    <mergeCell ref="A21:H21"/>
    <mergeCell ref="K21:L21"/>
    <mergeCell ref="K22:L22"/>
    <mergeCell ref="B23:D23"/>
    <mergeCell ref="F23:G23"/>
    <mergeCell ref="A34:C36"/>
    <mergeCell ref="D34:D36"/>
    <mergeCell ref="E34:E36"/>
    <mergeCell ref="A37:C39"/>
    <mergeCell ref="D37:D39"/>
    <mergeCell ref="E37:E39"/>
    <mergeCell ref="B25:D25"/>
    <mergeCell ref="E25:G25"/>
    <mergeCell ref="H25:J25"/>
    <mergeCell ref="E26:H26"/>
    <mergeCell ref="E27:H27"/>
    <mergeCell ref="K30:L30"/>
    <mergeCell ref="A31:A32"/>
    <mergeCell ref="K31:L31"/>
    <mergeCell ref="K32:L32"/>
    <mergeCell ref="K33:L33"/>
    <mergeCell ref="F35:L44"/>
    <mergeCell ref="D45:L46"/>
    <mergeCell ref="A47:L47"/>
    <mergeCell ref="K48:L48"/>
    <mergeCell ref="D52:D53"/>
    <mergeCell ref="E52:E53"/>
    <mergeCell ref="F52:G53"/>
    <mergeCell ref="H52:H53"/>
    <mergeCell ref="I52:I53"/>
    <mergeCell ref="J52:J53"/>
    <mergeCell ref="K52:L53"/>
    <mergeCell ref="K75:L75"/>
    <mergeCell ref="K76:L76"/>
    <mergeCell ref="K67:L68"/>
    <mergeCell ref="K69:L69"/>
    <mergeCell ref="K70:L70"/>
    <mergeCell ref="K71:L71"/>
    <mergeCell ref="K72:L72"/>
    <mergeCell ref="K73:L73"/>
    <mergeCell ref="K74:L74"/>
    <mergeCell ref="F77:G77"/>
    <mergeCell ref="D78:D79"/>
    <mergeCell ref="E78:E79"/>
    <mergeCell ref="F78:G79"/>
    <mergeCell ref="H78:H79"/>
    <mergeCell ref="I78:I79"/>
    <mergeCell ref="J78:J79"/>
    <mergeCell ref="F80:G80"/>
    <mergeCell ref="F81:G81"/>
    <mergeCell ref="A84:G84"/>
    <mergeCell ref="F85:G85"/>
    <mergeCell ref="C86:D86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A106:E106"/>
    <mergeCell ref="A107:C107"/>
    <mergeCell ref="A118:I118"/>
    <mergeCell ref="A119:C119"/>
    <mergeCell ref="F119:G119"/>
    <mergeCell ref="H119:I119"/>
    <mergeCell ref="F121:G121"/>
    <mergeCell ref="F122:G122"/>
    <mergeCell ref="F123:G123"/>
    <mergeCell ref="F124:G124"/>
    <mergeCell ref="F125:G125"/>
    <mergeCell ref="F133:G133"/>
    <mergeCell ref="F134:G134"/>
    <mergeCell ref="F126:G126"/>
    <mergeCell ref="F127:G127"/>
    <mergeCell ref="F128:G128"/>
    <mergeCell ref="F129:G129"/>
    <mergeCell ref="F130:G130"/>
    <mergeCell ref="F131:G131"/>
    <mergeCell ref="F132:G132"/>
    <mergeCell ref="D54:D55"/>
    <mergeCell ref="E54:E55"/>
    <mergeCell ref="F54:G55"/>
    <mergeCell ref="H54:H55"/>
    <mergeCell ref="I54:I55"/>
    <mergeCell ref="J54:J55"/>
    <mergeCell ref="F56:G56"/>
    <mergeCell ref="K62:L62"/>
    <mergeCell ref="K63:L63"/>
    <mergeCell ref="K64:L64"/>
    <mergeCell ref="K65:L66"/>
    <mergeCell ref="K77:L77"/>
    <mergeCell ref="K78:L79"/>
    <mergeCell ref="K80:L80"/>
    <mergeCell ref="K81:L81"/>
    <mergeCell ref="K54:L55"/>
    <mergeCell ref="K56:L56"/>
    <mergeCell ref="K57:L57"/>
    <mergeCell ref="K58:L58"/>
    <mergeCell ref="K59:L59"/>
    <mergeCell ref="K60:L60"/>
    <mergeCell ref="K61:L61"/>
    <mergeCell ref="F57:G57"/>
    <mergeCell ref="F58:G58"/>
    <mergeCell ref="F59:G59"/>
    <mergeCell ref="F60:G60"/>
    <mergeCell ref="F61:G61"/>
    <mergeCell ref="F62:G62"/>
    <mergeCell ref="F63:G63"/>
    <mergeCell ref="F64:G64"/>
    <mergeCell ref="D65:D66"/>
    <mergeCell ref="E65:E66"/>
    <mergeCell ref="F65:G66"/>
    <mergeCell ref="H65:H66"/>
    <mergeCell ref="I65:I66"/>
    <mergeCell ref="J65:J66"/>
    <mergeCell ref="D67:D68"/>
    <mergeCell ref="E67:E68"/>
    <mergeCell ref="F67:G68"/>
    <mergeCell ref="H67:H68"/>
    <mergeCell ref="I67:I68"/>
    <mergeCell ref="J67:J68"/>
    <mergeCell ref="F69:G69"/>
    <mergeCell ref="F70:G70"/>
    <mergeCell ref="F71:G71"/>
    <mergeCell ref="F72:G72"/>
    <mergeCell ref="F73:G73"/>
    <mergeCell ref="F74:G74"/>
    <mergeCell ref="F75:G75"/>
    <mergeCell ref="F76:G76"/>
  </mergeCells>
  <dataValidations>
    <dataValidation type="decimal" operator="greaterThanOrEqual" allowBlank="1" showInputMessage="1" showErrorMessage="1" prompt="Error - Value must be a number." sqref="C32:E32">
      <formula1>0.0</formula1>
    </dataValidation>
  </dataValidations>
  <hyperlinks>
    <hyperlink r:id="rId1" ref="C14"/>
    <hyperlink r:id="rId2" ref="A29"/>
  </hyperlinks>
  <printOptions horizontalCentered="1"/>
  <pageMargins bottom="0.25" footer="0.0" header="0.0" left="0.25" right="0.25" top="0.25"/>
  <pageSetup fitToHeight="0" orientation="portrait"/>
  <headerFooter>
    <oddFooter>&amp;LRev. 5/24 Arizona Department of Education and Auditor General&amp;RPage &amp;P of </oddFooter>
  </headerFooter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2006-05-14T13:29:21Z</dcterms:created>
  <dc:creator>AZ Department of Education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scalYear">
    <vt:lpwstr>2025</vt:lpwstr>
  </property>
  <property fmtid="{D5CDD505-2E9C-101B-9397-08002B2CF9AE}" pid="3" name="BudgetTypeID">
    <vt:lpwstr>35</vt:lpwstr>
  </property>
  <property fmtid="{D5CDD505-2E9C-101B-9397-08002B2CF9AE}" pid="4" name="SchoolbySchool">
    <vt:lpwstr>0</vt:lpwstr>
  </property>
  <property fmtid="{D5CDD505-2E9C-101B-9397-08002B2CF9AE}" pid="5" name="Password">
    <vt:lpwstr>Diamondbacks15</vt:lpwstr>
  </property>
  <property fmtid="{D5CDD505-2E9C-101B-9397-08002B2CF9AE}" pid="6" name="ADEGUID">
    <vt:lpwstr>1E8E6549-8EE6-49BE-8704-F2AFCEC310A2</vt:lpwstr>
  </property>
  <property fmtid="{D5CDD505-2E9C-101B-9397-08002B2CF9AE}" pid="7" name="ContentTypeId">
    <vt:lpwstr>0x010100740A7E3807644E4DA70E0D6B717B683A</vt:lpwstr>
  </property>
  <property fmtid="{D5CDD505-2E9C-101B-9397-08002B2CF9AE}" pid="8" name="MediaServiceImageTags">
    <vt:lpwstr/>
  </property>
</Properties>
</file>