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andranaylon\Desktop\"/>
    </mc:Choice>
  </mc:AlternateContent>
  <xr:revisionPtr revIDLastSave="0" documentId="13_ncr:1_{70CC3C73-2508-4299-849A-BBB930DDDDC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Summary'!$A$2:$AB$197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</workbook>
</file>

<file path=xl/calcChain.xml><?xml version="1.0" encoding="utf-8"?>
<calcChain xmlns="http://schemas.openxmlformats.org/spreadsheetml/2006/main">
  <c r="Q152" i="1" l="1"/>
  <c r="F51" i="1" l="1"/>
  <c r="F42" i="1"/>
  <c r="F33" i="1"/>
  <c r="F24" i="1"/>
  <c r="U6" i="1"/>
  <c r="Q151" i="1" l="1"/>
  <c r="Q150" i="1"/>
  <c r="Q97" i="1"/>
  <c r="Q95" i="1"/>
  <c r="Q79" i="1"/>
  <c r="Q8" i="1"/>
  <c r="Q6" i="1"/>
  <c r="O152" i="1"/>
  <c r="O150" i="1"/>
  <c r="O6" i="1"/>
  <c r="M162" i="1"/>
  <c r="M6" i="1"/>
  <c r="L25" i="1"/>
  <c r="L6" i="1"/>
  <c r="I6" i="1"/>
  <c r="E115" i="1"/>
  <c r="E114" i="1"/>
  <c r="E113" i="1"/>
  <c r="E116" i="1"/>
  <c r="E6" i="1"/>
  <c r="E9" i="1"/>
  <c r="E8" i="1"/>
  <c r="D77" i="1"/>
  <c r="AK25" i="1"/>
  <c r="C180" i="1"/>
  <c r="C181" i="1"/>
  <c r="C182" i="1"/>
  <c r="C183" i="1"/>
  <c r="C184" i="1"/>
  <c r="C185" i="1"/>
  <c r="C186" i="1"/>
  <c r="C187" i="1"/>
  <c r="C188" i="1"/>
  <c r="C189" i="1"/>
  <c r="C191" i="1"/>
  <c r="C192" i="1"/>
  <c r="C193" i="1"/>
  <c r="C194" i="1"/>
  <c r="C179" i="1"/>
  <c r="C103" i="1"/>
  <c r="C106" i="1"/>
  <c r="C107" i="1"/>
  <c r="C102" i="1"/>
  <c r="C85" i="1"/>
  <c r="C87" i="1"/>
  <c r="C88" i="1"/>
  <c r="C89" i="1"/>
  <c r="C84" i="1"/>
  <c r="C76" i="1"/>
  <c r="C78" i="1"/>
  <c r="C79" i="1"/>
  <c r="C80" i="1"/>
  <c r="C75" i="1"/>
  <c r="C68" i="1"/>
  <c r="C70" i="1"/>
  <c r="C71" i="1"/>
  <c r="C72" i="1"/>
  <c r="C67" i="1"/>
  <c r="C59" i="1"/>
  <c r="C61" i="1"/>
  <c r="C62" i="1"/>
  <c r="C63" i="1"/>
  <c r="C58" i="1"/>
  <c r="C54" i="1"/>
  <c r="C53" i="1"/>
  <c r="C52" i="1"/>
  <c r="C50" i="1"/>
  <c r="C49" i="1"/>
  <c r="C45" i="1"/>
  <c r="C44" i="1"/>
  <c r="C43" i="1"/>
  <c r="C42" i="1"/>
  <c r="C41" i="1"/>
  <c r="C40" i="1"/>
  <c r="C36" i="1"/>
  <c r="C35" i="1"/>
  <c r="C34" i="1"/>
  <c r="C32" i="1"/>
  <c r="C31" i="1"/>
  <c r="C25" i="1"/>
  <c r="C16" i="1"/>
  <c r="C14" i="1"/>
  <c r="C7" i="1"/>
  <c r="C9" i="1"/>
  <c r="C3" i="1"/>
  <c r="AL190" i="1"/>
  <c r="AL162" i="1"/>
  <c r="AL24" i="1"/>
  <c r="AL6" i="1"/>
  <c r="AK190" i="1"/>
  <c r="AK69" i="1"/>
  <c r="C69" i="1" s="1"/>
  <c r="AK162" i="1"/>
  <c r="AK105" i="1"/>
  <c r="C105" i="1" s="1"/>
  <c r="AK104" i="1"/>
  <c r="C104" i="1" s="1"/>
  <c r="AK96" i="1"/>
  <c r="C96" i="1" s="1"/>
  <c r="AK98" i="1"/>
  <c r="C98" i="1" s="1"/>
  <c r="AK97" i="1"/>
  <c r="C97" i="1" s="1"/>
  <c r="AK95" i="1"/>
  <c r="C95" i="1" s="1"/>
  <c r="AK94" i="1"/>
  <c r="C94" i="1" s="1"/>
  <c r="AK93" i="1"/>
  <c r="C93" i="1" s="1"/>
  <c r="AK77" i="1"/>
  <c r="C77" i="1" s="1"/>
  <c r="AK60" i="1"/>
  <c r="C60" i="1" s="1"/>
  <c r="AK51" i="1"/>
  <c r="C51" i="1" s="1"/>
  <c r="AK33" i="1"/>
  <c r="C33" i="1" s="1"/>
  <c r="AK27" i="1"/>
  <c r="C27" i="1" s="1"/>
  <c r="AK26" i="1"/>
  <c r="C26" i="1" s="1"/>
  <c r="AK24" i="1"/>
  <c r="AK23" i="1"/>
  <c r="C23" i="1" s="1"/>
  <c r="AK22" i="1"/>
  <c r="C22" i="1" s="1"/>
  <c r="AK8" i="1"/>
  <c r="C8" i="1" s="1"/>
  <c r="AK6" i="1"/>
  <c r="C6" i="1" s="1"/>
  <c r="AK15" i="1"/>
  <c r="C15" i="1" s="1"/>
  <c r="C190" i="1" l="1"/>
  <c r="C24" i="1"/>
  <c r="AQ24" i="1" s="1"/>
  <c r="C162" i="1"/>
  <c r="AQ184" i="1"/>
  <c r="AQ194" i="1"/>
  <c r="AQ191" i="1"/>
  <c r="AQ190" i="1"/>
  <c r="AQ181" i="1"/>
  <c r="AQ180" i="1"/>
  <c r="AQ179" i="1"/>
  <c r="AQ162" i="1"/>
  <c r="AQ161" i="1"/>
  <c r="AQ160" i="1"/>
  <c r="AQ158" i="1"/>
  <c r="AQ157" i="1"/>
  <c r="AQ159" i="1"/>
  <c r="AQ150" i="1"/>
  <c r="AQ96" i="1"/>
  <c r="AQ93" i="1"/>
  <c r="AQ98" i="1"/>
  <c r="AQ97" i="1"/>
  <c r="AQ95" i="1"/>
  <c r="AQ94" i="1"/>
  <c r="AQ89" i="1"/>
  <c r="AQ88" i="1"/>
  <c r="AQ87" i="1"/>
  <c r="AQ85" i="1"/>
  <c r="AQ84" i="1"/>
  <c r="AQ80" i="1"/>
  <c r="AQ79" i="1"/>
  <c r="AQ78" i="1"/>
  <c r="AQ77" i="1"/>
  <c r="AQ76" i="1"/>
  <c r="AQ75" i="1"/>
  <c r="AQ72" i="1"/>
  <c r="AQ71" i="1"/>
  <c r="AQ70" i="1"/>
  <c r="AQ68" i="1"/>
  <c r="AQ67" i="1"/>
  <c r="AQ69" i="1"/>
  <c r="AQ63" i="1"/>
  <c r="AQ62" i="1"/>
  <c r="AQ61" i="1"/>
  <c r="AQ59" i="1"/>
  <c r="AQ58" i="1"/>
  <c r="AQ60" i="1"/>
  <c r="AQ54" i="1"/>
  <c r="AQ53" i="1"/>
  <c r="AQ52" i="1"/>
  <c r="AQ50" i="1"/>
  <c r="AQ49" i="1"/>
  <c r="AQ51" i="1"/>
  <c r="AQ45" i="1"/>
  <c r="AQ44" i="1"/>
  <c r="AQ43" i="1"/>
  <c r="AQ42" i="1"/>
  <c r="AQ41" i="1"/>
  <c r="AQ40" i="1"/>
  <c r="AQ33" i="1"/>
  <c r="AQ36" i="1"/>
  <c r="AQ35" i="1"/>
  <c r="AQ34" i="1"/>
  <c r="AQ32" i="1"/>
  <c r="AQ31" i="1"/>
  <c r="AQ27" i="1"/>
  <c r="AQ25" i="1"/>
  <c r="AQ26" i="1"/>
  <c r="AQ23" i="1"/>
  <c r="AQ22" i="1"/>
  <c r="AQ14" i="1"/>
  <c r="AQ15" i="1"/>
  <c r="AQ9" i="1"/>
  <c r="AQ7" i="1"/>
  <c r="AQ3" i="1"/>
  <c r="AQ6" i="1"/>
  <c r="AQ8" i="1" l="1"/>
  <c r="AN195" i="1"/>
  <c r="AO195" i="1"/>
  <c r="AN174" i="1"/>
  <c r="AO174" i="1"/>
  <c r="AN163" i="1"/>
  <c r="AO163" i="1"/>
  <c r="AN154" i="1"/>
  <c r="AO154" i="1"/>
  <c r="AN143" i="1"/>
  <c r="AO143" i="1"/>
  <c r="AN134" i="1"/>
  <c r="AO134" i="1"/>
  <c r="AN125" i="1"/>
  <c r="AO125" i="1"/>
  <c r="AN117" i="1"/>
  <c r="AO117" i="1"/>
  <c r="AN108" i="1"/>
  <c r="AO108" i="1"/>
  <c r="AN99" i="1"/>
  <c r="AO99" i="1"/>
  <c r="AN90" i="1"/>
  <c r="AO90" i="1"/>
  <c r="AN81" i="1"/>
  <c r="AO81" i="1"/>
  <c r="AN73" i="1"/>
  <c r="AO73" i="1"/>
  <c r="AN64" i="1"/>
  <c r="AO64" i="1"/>
  <c r="AN55" i="1"/>
  <c r="AO55" i="1"/>
  <c r="AN46" i="1"/>
  <c r="AO46" i="1"/>
  <c r="AN37" i="1"/>
  <c r="AO37" i="1"/>
  <c r="AN28" i="1"/>
  <c r="AO28" i="1"/>
  <c r="AN10" i="1"/>
  <c r="AN12" i="1" s="1"/>
  <c r="AN18" i="1" s="1"/>
  <c r="AO10" i="1"/>
  <c r="AO12" i="1" s="1"/>
  <c r="AO18" i="1" s="1"/>
  <c r="AM194" i="1"/>
  <c r="AM193" i="1"/>
  <c r="AM192" i="1"/>
  <c r="AM191" i="1"/>
  <c r="AM190" i="1"/>
  <c r="AM189" i="1"/>
  <c r="AM188" i="1"/>
  <c r="AM187" i="1"/>
  <c r="AM186" i="1"/>
  <c r="AM185" i="1"/>
  <c r="AM184" i="1"/>
  <c r="AM183" i="1"/>
  <c r="AM182" i="1"/>
  <c r="AM181" i="1"/>
  <c r="AM180" i="1"/>
  <c r="AM179" i="1"/>
  <c r="AM173" i="1"/>
  <c r="AM172" i="1"/>
  <c r="AM171" i="1"/>
  <c r="AM170" i="1"/>
  <c r="AM169" i="1"/>
  <c r="AM168" i="1"/>
  <c r="AM153" i="1"/>
  <c r="AM152" i="1"/>
  <c r="AM151" i="1"/>
  <c r="AM150" i="1"/>
  <c r="AM149" i="1"/>
  <c r="AM148" i="1"/>
  <c r="AM142" i="1"/>
  <c r="AM141" i="1"/>
  <c r="AM140" i="1"/>
  <c r="AM139" i="1"/>
  <c r="AM138" i="1"/>
  <c r="AM137" i="1"/>
  <c r="AM133" i="1"/>
  <c r="AM132" i="1"/>
  <c r="AM131" i="1"/>
  <c r="AM130" i="1"/>
  <c r="AM129" i="1"/>
  <c r="AM128" i="1"/>
  <c r="AM124" i="1"/>
  <c r="AM123" i="1"/>
  <c r="AM122" i="1"/>
  <c r="AM121" i="1"/>
  <c r="AM120" i="1"/>
  <c r="AM119" i="1"/>
  <c r="AM116" i="1"/>
  <c r="AM115" i="1"/>
  <c r="AM114" i="1"/>
  <c r="AM113" i="1"/>
  <c r="AM112" i="1"/>
  <c r="AM111" i="1"/>
  <c r="AM107" i="1"/>
  <c r="AM106" i="1"/>
  <c r="AM105" i="1"/>
  <c r="AM104" i="1"/>
  <c r="AM103" i="1"/>
  <c r="AM102" i="1"/>
  <c r="AM98" i="1"/>
  <c r="AM97" i="1"/>
  <c r="AM96" i="1"/>
  <c r="AM95" i="1"/>
  <c r="AM94" i="1"/>
  <c r="AM93" i="1"/>
  <c r="AM89" i="1"/>
  <c r="AM88" i="1"/>
  <c r="AM87" i="1"/>
  <c r="AM86" i="1"/>
  <c r="AM85" i="1"/>
  <c r="AM84" i="1"/>
  <c r="AM80" i="1"/>
  <c r="AM79" i="1"/>
  <c r="AM78" i="1"/>
  <c r="AM77" i="1"/>
  <c r="AM76" i="1"/>
  <c r="AM75" i="1"/>
  <c r="AM72" i="1"/>
  <c r="AM71" i="1"/>
  <c r="AM70" i="1"/>
  <c r="AM69" i="1"/>
  <c r="AM68" i="1"/>
  <c r="AM67" i="1"/>
  <c r="AM63" i="1"/>
  <c r="AM62" i="1"/>
  <c r="AM61" i="1"/>
  <c r="AM60" i="1"/>
  <c r="AM59" i="1"/>
  <c r="AM58" i="1"/>
  <c r="AM54" i="1"/>
  <c r="AM53" i="1"/>
  <c r="AM52" i="1"/>
  <c r="AM51" i="1"/>
  <c r="AM50" i="1"/>
  <c r="AM49" i="1"/>
  <c r="AM45" i="1"/>
  <c r="AM44" i="1"/>
  <c r="AM43" i="1"/>
  <c r="AM42" i="1"/>
  <c r="AM41" i="1"/>
  <c r="AM40" i="1"/>
  <c r="AM36" i="1"/>
  <c r="AM35" i="1"/>
  <c r="AM34" i="1"/>
  <c r="AM33" i="1"/>
  <c r="AM32" i="1"/>
  <c r="AM31" i="1"/>
  <c r="AM23" i="1"/>
  <c r="AM24" i="1"/>
  <c r="AM25" i="1"/>
  <c r="AM26" i="1"/>
  <c r="AM27" i="1"/>
  <c r="AM22" i="1"/>
  <c r="AM7" i="1"/>
  <c r="AM8" i="1"/>
  <c r="AM9" i="1"/>
  <c r="AM6" i="1"/>
  <c r="AM3" i="1"/>
  <c r="AO145" i="1" l="1"/>
  <c r="AO165" i="1" s="1"/>
  <c r="AO176" i="1" s="1"/>
  <c r="AO197" i="1" s="1"/>
  <c r="AN145" i="1"/>
  <c r="AN165" i="1" s="1"/>
  <c r="AN176" i="1" s="1"/>
  <c r="AN197" i="1" s="1"/>
  <c r="AM14" i="1"/>
  <c r="AL163" i="1" l="1"/>
  <c r="AL154" i="1"/>
  <c r="AL108" i="1"/>
  <c r="AL99" i="1"/>
  <c r="AL90" i="1"/>
  <c r="AL81" i="1"/>
  <c r="AL64" i="1"/>
  <c r="AL46" i="1"/>
  <c r="AL10" i="1"/>
  <c r="AL12" i="1" s="1"/>
  <c r="AL18" i="1" s="1"/>
  <c r="AK154" i="1"/>
  <c r="AK10" i="1"/>
  <c r="AL195" i="1"/>
  <c r="AL28" i="1"/>
  <c r="AQ193" i="1"/>
  <c r="AQ192" i="1"/>
  <c r="AQ189" i="1"/>
  <c r="AQ188" i="1"/>
  <c r="AQ187" i="1"/>
  <c r="AQ186" i="1"/>
  <c r="AQ185" i="1"/>
  <c r="AQ183" i="1"/>
  <c r="AQ182" i="1"/>
  <c r="C169" i="1"/>
  <c r="AQ169" i="1" s="1"/>
  <c r="C170" i="1"/>
  <c r="AQ170" i="1" s="1"/>
  <c r="C171" i="1"/>
  <c r="AQ171" i="1" s="1"/>
  <c r="C172" i="1"/>
  <c r="AQ172" i="1" s="1"/>
  <c r="C173" i="1"/>
  <c r="C168" i="1"/>
  <c r="AQ168" i="1" s="1"/>
  <c r="C149" i="1"/>
  <c r="AQ149" i="1" s="1"/>
  <c r="C151" i="1"/>
  <c r="AQ151" i="1" s="1"/>
  <c r="C152" i="1"/>
  <c r="AQ152" i="1" s="1"/>
  <c r="C153" i="1"/>
  <c r="AQ153" i="1" s="1"/>
  <c r="C148" i="1"/>
  <c r="AQ148" i="1" s="1"/>
  <c r="C138" i="1"/>
  <c r="C139" i="1"/>
  <c r="C140" i="1"/>
  <c r="C141" i="1"/>
  <c r="C142" i="1"/>
  <c r="C137" i="1"/>
  <c r="C129" i="1"/>
  <c r="C130" i="1"/>
  <c r="C131" i="1"/>
  <c r="C132" i="1"/>
  <c r="C133" i="1"/>
  <c r="C128" i="1"/>
  <c r="C120" i="1"/>
  <c r="C121" i="1"/>
  <c r="C122" i="1"/>
  <c r="C123" i="1"/>
  <c r="C124" i="1"/>
  <c r="C119" i="1"/>
  <c r="C112" i="1"/>
  <c r="AQ112" i="1" s="1"/>
  <c r="C113" i="1"/>
  <c r="AQ113" i="1" s="1"/>
  <c r="C114" i="1"/>
  <c r="AQ114" i="1" s="1"/>
  <c r="C115" i="1"/>
  <c r="AQ115" i="1" s="1"/>
  <c r="C116" i="1"/>
  <c r="AQ116" i="1" s="1"/>
  <c r="C111" i="1"/>
  <c r="AQ111" i="1" s="1"/>
  <c r="AK195" i="1"/>
  <c r="AK163" i="1"/>
  <c r="AK86" i="1"/>
  <c r="AK73" i="1"/>
  <c r="AK55" i="1"/>
  <c r="AK46" i="1"/>
  <c r="AK37" i="1"/>
  <c r="AK12" i="1" l="1"/>
  <c r="C12" i="1" s="1"/>
  <c r="C10" i="1"/>
  <c r="AK90" i="1"/>
  <c r="C86" i="1"/>
  <c r="AQ86" i="1" s="1"/>
  <c r="AQ117" i="1"/>
  <c r="AK64" i="1"/>
  <c r="AL145" i="1"/>
  <c r="AL165" i="1" s="1"/>
  <c r="AL176" i="1" s="1"/>
  <c r="AK81" i="1"/>
  <c r="AK99" i="1"/>
  <c r="AK108" i="1"/>
  <c r="AK18" i="1"/>
  <c r="C18" i="1" s="1"/>
  <c r="AK28" i="1"/>
  <c r="AK145" i="1" l="1"/>
  <c r="AK165" i="1" s="1"/>
  <c r="AK176" i="1" s="1"/>
  <c r="AP24" i="1"/>
  <c r="AB187" i="1" l="1"/>
  <c r="C174" i="1"/>
  <c r="H195" i="1"/>
  <c r="H199" i="1" s="1"/>
  <c r="H174" i="1"/>
  <c r="H163" i="1"/>
  <c r="H154" i="1"/>
  <c r="H143" i="1"/>
  <c r="H134" i="1"/>
  <c r="H125" i="1"/>
  <c r="H117" i="1"/>
  <c r="H108" i="1"/>
  <c r="H99" i="1"/>
  <c r="H90" i="1"/>
  <c r="H81" i="1"/>
  <c r="H73" i="1"/>
  <c r="H64" i="1"/>
  <c r="H55" i="1"/>
  <c r="H46" i="1"/>
  <c r="H37" i="1"/>
  <c r="H28" i="1"/>
  <c r="H10" i="1"/>
  <c r="H12" i="1" s="1"/>
  <c r="H18" i="1" s="1"/>
  <c r="E163" i="1"/>
  <c r="H145" i="1" l="1"/>
  <c r="H165" i="1" s="1"/>
  <c r="H176" i="1" s="1"/>
  <c r="H197" i="1" s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G195" i="1"/>
  <c r="F195" i="1"/>
  <c r="E195" i="1"/>
  <c r="AP195" i="1"/>
  <c r="D195" i="1"/>
  <c r="AM195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G174" i="1"/>
  <c r="F174" i="1"/>
  <c r="E174" i="1"/>
  <c r="AP174" i="1"/>
  <c r="D174" i="1"/>
  <c r="AM174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G163" i="1"/>
  <c r="F163" i="1"/>
  <c r="AP163" i="1"/>
  <c r="D163" i="1"/>
  <c r="AM163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G154" i="1"/>
  <c r="F154" i="1"/>
  <c r="E154" i="1"/>
  <c r="AP154" i="1"/>
  <c r="D154" i="1"/>
  <c r="AM154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G143" i="1"/>
  <c r="F143" i="1"/>
  <c r="E143" i="1"/>
  <c r="AP143" i="1"/>
  <c r="D143" i="1"/>
  <c r="AM143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G134" i="1"/>
  <c r="F134" i="1"/>
  <c r="E134" i="1"/>
  <c r="AP134" i="1"/>
  <c r="D134" i="1"/>
  <c r="AM134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G125" i="1"/>
  <c r="F125" i="1"/>
  <c r="E125" i="1"/>
  <c r="AP125" i="1"/>
  <c r="D125" i="1"/>
  <c r="AM125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G117" i="1"/>
  <c r="F117" i="1"/>
  <c r="E117" i="1"/>
  <c r="AP117" i="1"/>
  <c r="D117" i="1"/>
  <c r="AM117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G108" i="1"/>
  <c r="F108" i="1"/>
  <c r="E108" i="1"/>
  <c r="AP108" i="1"/>
  <c r="D108" i="1"/>
  <c r="AM108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G99" i="1"/>
  <c r="F99" i="1"/>
  <c r="E99" i="1"/>
  <c r="AP99" i="1"/>
  <c r="D99" i="1"/>
  <c r="AM99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G90" i="1"/>
  <c r="F90" i="1"/>
  <c r="E90" i="1"/>
  <c r="AP90" i="1"/>
  <c r="D90" i="1"/>
  <c r="AM90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G81" i="1"/>
  <c r="F81" i="1"/>
  <c r="E81" i="1"/>
  <c r="AP81" i="1"/>
  <c r="D81" i="1"/>
  <c r="AM81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G73" i="1"/>
  <c r="F73" i="1"/>
  <c r="E73" i="1"/>
  <c r="AP73" i="1"/>
  <c r="D73" i="1"/>
  <c r="AM73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G64" i="1"/>
  <c r="F64" i="1"/>
  <c r="E64" i="1"/>
  <c r="AP64" i="1"/>
  <c r="D64" i="1"/>
  <c r="AM64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G55" i="1"/>
  <c r="F55" i="1"/>
  <c r="E55" i="1"/>
  <c r="AP55" i="1"/>
  <c r="D55" i="1"/>
  <c r="AM55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G46" i="1"/>
  <c r="F46" i="1"/>
  <c r="E46" i="1"/>
  <c r="AP46" i="1"/>
  <c r="D46" i="1"/>
  <c r="AM46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AP37" i="1"/>
  <c r="D37" i="1"/>
  <c r="AM37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G28" i="1"/>
  <c r="F28" i="1"/>
  <c r="E28" i="1"/>
  <c r="AP28" i="1"/>
  <c r="D28" i="1"/>
  <c r="AM28" i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J10" i="1"/>
  <c r="J12" i="1" s="1"/>
  <c r="J18" i="1" s="1"/>
  <c r="I10" i="1"/>
  <c r="I12" i="1" s="1"/>
  <c r="I18" i="1" s="1"/>
  <c r="G10" i="1"/>
  <c r="G12" i="1" s="1"/>
  <c r="G18" i="1" s="1"/>
  <c r="F10" i="1"/>
  <c r="F12" i="1" s="1"/>
  <c r="F18" i="1" s="1"/>
  <c r="E10" i="1"/>
  <c r="E12" i="1" s="1"/>
  <c r="E18" i="1" s="1"/>
  <c r="AP10" i="1"/>
  <c r="AP12" i="1" s="1"/>
  <c r="AP18" i="1" s="1"/>
  <c r="D10" i="1"/>
  <c r="D12" i="1" s="1"/>
  <c r="D18" i="1" s="1"/>
  <c r="AM10" i="1"/>
  <c r="AM12" i="1" s="1"/>
  <c r="AM18" i="1" s="1"/>
  <c r="AB194" i="1"/>
  <c r="AB193" i="1"/>
  <c r="AB192" i="1"/>
  <c r="AB191" i="1"/>
  <c r="AB190" i="1"/>
  <c r="AB189" i="1"/>
  <c r="AB188" i="1"/>
  <c r="AB186" i="1"/>
  <c r="AB185" i="1"/>
  <c r="AB184" i="1"/>
  <c r="AB183" i="1"/>
  <c r="AB182" i="1"/>
  <c r="AB181" i="1"/>
  <c r="AB180" i="1"/>
  <c r="AB179" i="1"/>
  <c r="AB173" i="1"/>
  <c r="AQ173" i="1" s="1"/>
  <c r="AQ174" i="1" s="1"/>
  <c r="AB172" i="1"/>
  <c r="AB171" i="1"/>
  <c r="AB170" i="1"/>
  <c r="AB169" i="1"/>
  <c r="AB168" i="1"/>
  <c r="AB162" i="1"/>
  <c r="AQ163" i="1" s="1"/>
  <c r="AB161" i="1"/>
  <c r="AB160" i="1"/>
  <c r="AB159" i="1"/>
  <c r="AB158" i="1"/>
  <c r="AB157" i="1"/>
  <c r="AB153" i="1"/>
  <c r="AB152" i="1"/>
  <c r="AB151" i="1"/>
  <c r="AB150" i="1"/>
  <c r="AQ154" i="1" s="1"/>
  <c r="AB149" i="1"/>
  <c r="AB148" i="1"/>
  <c r="AB142" i="1"/>
  <c r="AQ142" i="1" s="1"/>
  <c r="AB141" i="1"/>
  <c r="AQ141" i="1" s="1"/>
  <c r="AB140" i="1"/>
  <c r="AQ140" i="1" s="1"/>
  <c r="AB139" i="1"/>
  <c r="AQ139" i="1" s="1"/>
  <c r="AB138" i="1"/>
  <c r="AQ138" i="1" s="1"/>
  <c r="AB137" i="1"/>
  <c r="AQ137" i="1" s="1"/>
  <c r="AB133" i="1"/>
  <c r="AQ133" i="1" s="1"/>
  <c r="AB132" i="1"/>
  <c r="AQ132" i="1" s="1"/>
  <c r="AB131" i="1"/>
  <c r="AQ131" i="1" s="1"/>
  <c r="AB130" i="1"/>
  <c r="AQ130" i="1" s="1"/>
  <c r="AB129" i="1"/>
  <c r="AQ129" i="1" s="1"/>
  <c r="AB128" i="1"/>
  <c r="AQ128" i="1" s="1"/>
  <c r="AB124" i="1"/>
  <c r="AQ124" i="1" s="1"/>
  <c r="AB123" i="1"/>
  <c r="AQ123" i="1" s="1"/>
  <c r="AB122" i="1"/>
  <c r="AQ122" i="1" s="1"/>
  <c r="AB121" i="1"/>
  <c r="AQ121" i="1" s="1"/>
  <c r="AB120" i="1"/>
  <c r="AQ120" i="1" s="1"/>
  <c r="AB119" i="1"/>
  <c r="AQ119" i="1" s="1"/>
  <c r="AB116" i="1"/>
  <c r="AB115" i="1"/>
  <c r="AB114" i="1"/>
  <c r="AB113" i="1"/>
  <c r="AB112" i="1"/>
  <c r="AB111" i="1"/>
  <c r="AB107" i="1"/>
  <c r="AQ107" i="1" s="1"/>
  <c r="AB106" i="1"/>
  <c r="AQ106" i="1" s="1"/>
  <c r="AB105" i="1"/>
  <c r="AQ105" i="1" s="1"/>
  <c r="AB104" i="1"/>
  <c r="AQ104" i="1" s="1"/>
  <c r="AB103" i="1"/>
  <c r="AQ103" i="1" s="1"/>
  <c r="AB102" i="1"/>
  <c r="AQ102" i="1" s="1"/>
  <c r="AB98" i="1"/>
  <c r="AB97" i="1"/>
  <c r="AB96" i="1"/>
  <c r="AB95" i="1"/>
  <c r="AB94" i="1"/>
  <c r="AB93" i="1"/>
  <c r="AB89" i="1"/>
  <c r="AB88" i="1"/>
  <c r="AB87" i="1"/>
  <c r="AB86" i="1"/>
  <c r="AB85" i="1"/>
  <c r="AB84" i="1"/>
  <c r="AB80" i="1"/>
  <c r="AB79" i="1"/>
  <c r="AB78" i="1"/>
  <c r="AB77" i="1"/>
  <c r="AB76" i="1"/>
  <c r="AB75" i="1"/>
  <c r="AB72" i="1"/>
  <c r="AB71" i="1"/>
  <c r="AB70" i="1"/>
  <c r="AB69" i="1"/>
  <c r="AB68" i="1"/>
  <c r="AB67" i="1"/>
  <c r="AB63" i="1"/>
  <c r="AB62" i="1"/>
  <c r="AB61" i="1"/>
  <c r="AB60" i="1"/>
  <c r="AB59" i="1"/>
  <c r="AB58" i="1"/>
  <c r="AQ64" i="1" s="1"/>
  <c r="AB54" i="1"/>
  <c r="AB53" i="1"/>
  <c r="AB52" i="1"/>
  <c r="AB51" i="1"/>
  <c r="AB50" i="1"/>
  <c r="AB49" i="1"/>
  <c r="AB45" i="1"/>
  <c r="AB44" i="1"/>
  <c r="AB43" i="1"/>
  <c r="AB42" i="1"/>
  <c r="AB41" i="1"/>
  <c r="AB40" i="1"/>
  <c r="AB36" i="1"/>
  <c r="AB35" i="1"/>
  <c r="AB34" i="1"/>
  <c r="AB33" i="1"/>
  <c r="AB32" i="1"/>
  <c r="AB31" i="1"/>
  <c r="AB27" i="1"/>
  <c r="AB26" i="1"/>
  <c r="AB25" i="1"/>
  <c r="AB24" i="1"/>
  <c r="AB23" i="1"/>
  <c r="AB22" i="1"/>
  <c r="AB16" i="1"/>
  <c r="AQ16" i="1" s="1"/>
  <c r="AB15" i="1"/>
  <c r="AB14" i="1"/>
  <c r="AB9" i="1"/>
  <c r="AB8" i="1"/>
  <c r="AQ10" i="1" s="1"/>
  <c r="AQ12" i="1" s="1"/>
  <c r="AB7" i="1"/>
  <c r="AB6" i="1"/>
  <c r="AB3" i="1"/>
  <c r="AQ134" i="1" l="1"/>
  <c r="AQ125" i="1"/>
  <c r="AQ143" i="1"/>
  <c r="AQ195" i="1"/>
  <c r="AQ199" i="1" s="1"/>
  <c r="AQ108" i="1"/>
  <c r="AQ99" i="1"/>
  <c r="AQ90" i="1"/>
  <c r="AQ81" i="1"/>
  <c r="AQ73" i="1"/>
  <c r="AQ55" i="1"/>
  <c r="AQ46" i="1"/>
  <c r="AQ37" i="1"/>
  <c r="AQ28" i="1"/>
  <c r="AQ18" i="1"/>
  <c r="AB37" i="1"/>
  <c r="AB55" i="1"/>
  <c r="AB73" i="1"/>
  <c r="AB90" i="1"/>
  <c r="AB108" i="1"/>
  <c r="AB125" i="1"/>
  <c r="AB143" i="1"/>
  <c r="AP145" i="1"/>
  <c r="AP165" i="1" s="1"/>
  <c r="AP176" i="1" s="1"/>
  <c r="AP197" i="1" s="1"/>
  <c r="M145" i="1"/>
  <c r="M165" i="1" s="1"/>
  <c r="M176" i="1" s="1"/>
  <c r="M197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Y197" i="1" s="1"/>
  <c r="E145" i="1"/>
  <c r="E165" i="1" s="1"/>
  <c r="E176" i="1" s="1"/>
  <c r="E197" i="1" s="1"/>
  <c r="J145" i="1"/>
  <c r="J165" i="1" s="1"/>
  <c r="J176" i="1" s="1"/>
  <c r="J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I145" i="1"/>
  <c r="I165" i="1" s="1"/>
  <c r="I176" i="1" s="1"/>
  <c r="I197" i="1" s="1"/>
  <c r="AB28" i="1"/>
  <c r="AB46" i="1"/>
  <c r="AB64" i="1"/>
  <c r="AB81" i="1"/>
  <c r="AB99" i="1"/>
  <c r="AB117" i="1"/>
  <c r="AB134" i="1"/>
  <c r="AB154" i="1"/>
  <c r="AB174" i="1"/>
  <c r="AB195" i="1"/>
  <c r="AM145" i="1"/>
  <c r="AM165" i="1" s="1"/>
  <c r="AM176" i="1" s="1"/>
  <c r="AM197" i="1" s="1"/>
  <c r="F145" i="1"/>
  <c r="F165" i="1" s="1"/>
  <c r="F176" i="1" s="1"/>
  <c r="F197" i="1" s="1"/>
  <c r="K145" i="1"/>
  <c r="K165" i="1" s="1"/>
  <c r="K176" i="1" s="1"/>
  <c r="K197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W197" i="1" s="1"/>
  <c r="AA145" i="1"/>
  <c r="AA165" i="1" s="1"/>
  <c r="AA176" i="1" s="1"/>
  <c r="AA197" i="1" s="1"/>
  <c r="AB10" i="1"/>
  <c r="AB12" i="1" s="1"/>
  <c r="AB18" i="1" s="1"/>
  <c r="D145" i="1"/>
  <c r="D165" i="1" s="1"/>
  <c r="D176" i="1" s="1"/>
  <c r="D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T197" i="1" s="1"/>
  <c r="X145" i="1"/>
  <c r="X165" i="1" s="1"/>
  <c r="X176" i="1" s="1"/>
  <c r="X197" i="1" s="1"/>
  <c r="AB163" i="1"/>
  <c r="AQ145" i="1" l="1"/>
  <c r="AQ165" i="1" s="1"/>
  <c r="AQ176" i="1" s="1"/>
  <c r="AQ197" i="1" s="1"/>
  <c r="AB145" i="1"/>
  <c r="AB165" i="1" s="1"/>
  <c r="AB176" i="1" s="1"/>
  <c r="AB197" i="1" s="1"/>
  <c r="AA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G199" i="1"/>
  <c r="F199" i="1"/>
  <c r="E199" i="1"/>
  <c r="AP199" i="1"/>
  <c r="D199" i="1"/>
  <c r="AM199" i="1"/>
  <c r="C195" i="1"/>
  <c r="C199" i="1" l="1"/>
  <c r="Z199" i="1"/>
  <c r="AB199" i="1" l="1"/>
  <c r="C163" i="1" l="1"/>
  <c r="C134" i="1"/>
  <c r="C99" i="1"/>
  <c r="C64" i="1"/>
  <c r="C55" i="1"/>
  <c r="C37" i="1"/>
  <c r="C46" i="1" l="1"/>
  <c r="C73" i="1"/>
  <c r="C81" i="1"/>
  <c r="C90" i="1"/>
  <c r="C125" i="1"/>
  <c r="C28" i="1"/>
  <c r="C143" i="1"/>
  <c r="C108" i="1"/>
  <c r="C117" i="1"/>
  <c r="C154" i="1"/>
  <c r="C145" i="1" l="1"/>
  <c r="C165" i="1" l="1"/>
  <c r="C176" i="1" l="1"/>
  <c r="C197" i="1" l="1"/>
</calcChain>
</file>

<file path=xl/sharedStrings.xml><?xml version="1.0" encoding="utf-8"?>
<sst xmlns="http://schemas.openxmlformats.org/spreadsheetml/2006/main" count="470" uniqueCount="147">
  <si>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</si>
  <si>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</si>
  <si>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</si>
  <si>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</si>
  <si>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</si>
  <si>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</si>
  <si>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</si>
  <si>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</si>
  <si>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</si>
  <si>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</si>
  <si>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</si>
  <si>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</si>
  <si>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</si>
  <si>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</si>
  <si>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</si>
  <si>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</si>
  <si>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</si>
  <si>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</si>
  <si>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</si>
  <si>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</si>
  <si>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</si>
  <si>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</si>
  <si>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</si>
  <si>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</si>
  <si>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</si>
  <si>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</si>
  <si>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</si>
  <si>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</si>
  <si>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</si>
  <si>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</si>
  <si>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</si>
  <si>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</si>
  <si>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</si>
  <si>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</si>
  <si>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</si>
  <si>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</si>
  <si>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</si>
  <si>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</si>
  <si>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</si>
  <si>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</si>
  <si>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</si>
  <si>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</si>
  <si>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</si>
  <si>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</si>
  <si>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</si>
  <si>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</si>
  <si>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</si>
  <si>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</si>
  <si>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</si>
  <si>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</si>
  <si>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</si>
  <si>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</si>
  <si>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</si>
  <si>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</si>
  <si>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</si>
  <si>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</si>
  <si>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</si>
  <si>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</si>
  <si>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</si>
  <si>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</si>
  <si>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</si>
  <si>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</si>
  <si>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</si>
  <si>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</si>
  <si>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</si>
  <si>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</si>
  <si>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</si>
  <si>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</si>
  <si>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</si>
  <si>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</si>
  <si>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</si>
  <si>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</si>
  <si>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</si>
  <si>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</si>
  <si>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</si>
  <si>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</si>
  <si>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</si>
  <si>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</si>
  <si>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</si>
  <si>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</si>
  <si>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</si>
  <si>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</si>
  <si>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</si>
  <si>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</si>
  <si>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</si>
  <si>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</si>
  <si>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</si>
  <si>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</si>
  <si>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</si>
  <si>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</si>
  <si>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</si>
  <si>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</si>
  <si>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</si>
  <si>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</si>
  <si>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</si>
  <si>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</si>
  <si>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</si>
  <si>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</si>
  <si>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</si>
  <si>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</si>
  <si>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</si>
  <si>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</si>
  <si>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</si>
  <si>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</si>
  <si>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</si>
  <si>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</si>
  <si>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</si>
  <si>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</si>
  <si>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</si>
  <si>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</si>
  <si>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</si>
  <si>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</si>
  <si>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</si>
  <si>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</si>
  <si>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</si>
  <si>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</si>
  <si>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</si>
  <si>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</si>
  <si>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</si>
  <si>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</si>
  <si>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</si>
  <si>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</si>
  <si>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</si>
  <si>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</si>
  <si>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</si>
  <si>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</si>
  <si>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</si>
  <si>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</si>
  <si>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</si>
  <si>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</si>
  <si>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</si>
  <si>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</si>
  <si>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</si>
  <si>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</si>
  <si>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</si>
  <si>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</si>
  <si>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</si>
  <si>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</si>
  <si>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</si>
  <si>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</si>
  <si>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FY2024-2025 UNIFORM BUDGET SUMMARY</t>
  </si>
  <si>
    <t>Fund 10 detail</t>
  </si>
  <si>
    <t>Fund 17 detail</t>
  </si>
  <si>
    <t>No budget entered             11
Charter School Fund</t>
  </si>
  <si>
    <t>CHPA</t>
  </si>
  <si>
    <t>PSAS</t>
  </si>
  <si>
    <t xml:space="preserve">County of Pueblo School District No 60
District Code: 2690
Approved Amended Budget
Adopted: Jan 28, 2025
Budgeted Pupil Count: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</si>
</sst>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47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  <xf numFmtId="41" fontId="1" fillId="0" borderId="15" xfId="0" applyNumberFormat="1" applyFont="1" applyBorder="1" applyAlignment="1">
      <alignment horizontal="center" wrapText="1"/>
    </xf>
    <xf numFmtId="41" fontId="3" fillId="0" borderId="16" xfId="0" applyNumberFormat="1" applyFont="1" applyBorder="1" applyProtection="1">
      <protection locked="0"/>
    </xf>
    <xf numFmtId="41" fontId="1" fillId="0" borderId="16" xfId="0" applyNumberFormat="1" applyFont="1" applyBorder="1" applyAlignment="1" applyProtection="1">
      <alignment horizontal="center" wrapText="1"/>
      <protection locked="0"/>
    </xf>
    <xf numFmtId="41" fontId="3" fillId="2" borderId="17" xfId="0" applyNumberFormat="1" applyFont="1" applyFill="1" applyBorder="1"/>
    <xf numFmtId="41" fontId="3" fillId="0" borderId="16" xfId="0" applyNumberFormat="1" applyFont="1" applyBorder="1"/>
    <xf numFmtId="41" fontId="4" fillId="0" borderId="16" xfId="0" applyNumberFormat="1" applyFont="1" applyBorder="1" applyProtection="1">
      <protection locked="0"/>
    </xf>
    <xf numFmtId="41" fontId="3" fillId="0" borderId="16" xfId="0" applyNumberFormat="1" applyFont="1" applyBorder="1" applyAlignment="1" applyProtection="1">
      <alignment horizontal="right"/>
      <protection locked="0"/>
    </xf>
    <xf numFmtId="37" fontId="3" fillId="0" borderId="0" xfId="0" applyFont="1" applyFill="1"/>
    <xf numFmtId="41" fontId="3" fillId="0" borderId="16" xfId="0" applyNumberFormat="1" applyFont="1" applyFill="1" applyBorder="1" applyProtection="1">
      <protection locked="0"/>
    </xf>
  </cellXfs>
  <cellStyles count="1">
    <cellStyle name="Normal" xfId="0" builtinId="0"/>
  </cellStyles>
  <dxfs count="2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9"/>
  <sheetViews>
    <sheetView tabSelected="1" zoomScaleNormal="100" workbookViewId="0">
      <pane xSplit="2" ySplit="2" topLeftCell="F3" activePane="bottomRight" state="frozen"/>
      <selection activeCell="G13" sqref="G13"/>
      <selection pane="topRight" activeCell="G13" sqref="G13"/>
      <selection pane="bottomLeft" activeCell="G13" sqref="G13"/>
      <selection pane="bottomRight" activeCell="G9" sqref="G9"/>
    </sheetView>
  </sheetViews>
  <sheetFormatPr defaultColWidth="9.33203125" defaultRowHeight="12.75" x14ac:dyDescent="0.2"/>
  <cols>
    <col min="1" max="1" width="47.6640625" style="8" customWidth="1"/>
    <col min="2" max="2" width="14" style="1" bestFit="1" customWidth="1"/>
    <col min="3" max="27" width="18.6640625" style="2" customWidth="1"/>
    <col min="28" max="28" width="14.5" style="2" customWidth="1"/>
    <col min="29" max="36" width="9.33203125" style="3"/>
    <col min="37" max="43" width="18.6640625" style="2" hidden="1" customWidth="1"/>
    <col min="44" max="16384" width="9.33203125" style="3"/>
  </cols>
  <sheetData>
    <row r="1" spans="1:43" ht="13.5" thickBot="1" x14ac:dyDescent="0.25">
      <c r="A1" s="8" t="s">
        <v>140</v>
      </c>
    </row>
    <row r="2" spans="1:43" s="4" customFormat="1" ht="102.75" thickBot="1" x14ac:dyDescent="0.25">
      <c r="A2" s="37" t="s">
        <v>146</v>
      </c>
      <c r="B2" s="28" t="s">
        <v>57</v>
      </c>
      <c r="C2" s="29" t="s">
        <v>114</v>
      </c>
      <c r="D2" s="27" t="s">
        <v>115</v>
      </c>
      <c r="E2" s="27" t="s">
        <v>117</v>
      </c>
      <c r="F2" s="27" t="s">
        <v>118</v>
      </c>
      <c r="G2" s="27" t="s">
        <v>119</v>
      </c>
      <c r="H2" s="27" t="s">
        <v>111</v>
      </c>
      <c r="I2" s="27" t="s">
        <v>120</v>
      </c>
      <c r="J2" s="27" t="s">
        <v>0</v>
      </c>
      <c r="K2" s="27" t="s">
        <v>121</v>
      </c>
      <c r="L2" s="27" t="s">
        <v>122</v>
      </c>
      <c r="M2" s="27" t="s">
        <v>123</v>
      </c>
      <c r="N2" s="27" t="s">
        <v>124</v>
      </c>
      <c r="O2" s="27" t="s">
        <v>125</v>
      </c>
      <c r="P2" s="27" t="s">
        <v>126</v>
      </c>
      <c r="Q2" s="27" t="s">
        <v>127</v>
      </c>
      <c r="R2" s="27" t="s">
        <v>128</v>
      </c>
      <c r="S2" s="27" t="s">
        <v>129</v>
      </c>
      <c r="T2" s="27" t="s">
        <v>130</v>
      </c>
      <c r="U2" s="27" t="s">
        <v>131</v>
      </c>
      <c r="V2" s="27" t="s">
        <v>132</v>
      </c>
      <c r="W2" s="27" t="s">
        <v>133</v>
      </c>
      <c r="X2" s="27" t="s">
        <v>134</v>
      </c>
      <c r="Y2" s="27" t="s">
        <v>135</v>
      </c>
      <c r="Z2" s="27" t="s">
        <v>136</v>
      </c>
      <c r="AA2" s="27" t="s">
        <v>137</v>
      </c>
      <c r="AB2" s="30" t="s">
        <v>1</v>
      </c>
      <c r="AK2" s="38" t="s">
        <v>141</v>
      </c>
      <c r="AL2" s="38" t="s">
        <v>142</v>
      </c>
      <c r="AM2" s="27" t="s">
        <v>143</v>
      </c>
      <c r="AN2" s="27" t="s">
        <v>144</v>
      </c>
      <c r="AO2" s="27" t="s">
        <v>145</v>
      </c>
      <c r="AP2" s="27" t="s">
        <v>116</v>
      </c>
      <c r="AQ2" s="30" t="s">
        <v>1</v>
      </c>
    </row>
    <row r="3" spans="1:43" s="4" customFormat="1" ht="25.5" x14ac:dyDescent="0.2">
      <c r="A3" s="10" t="s">
        <v>102</v>
      </c>
      <c r="B3" s="5"/>
      <c r="C3" s="15">
        <f>SUM(AK3)+(AL3)</f>
        <v>36369682</v>
      </c>
      <c r="D3" s="16">
        <v>2291341</v>
      </c>
      <c r="E3" s="16">
        <v>10306080</v>
      </c>
      <c r="F3" s="16"/>
      <c r="G3" s="16">
        <v>0</v>
      </c>
      <c r="H3" s="16">
        <v>0</v>
      </c>
      <c r="I3" s="16">
        <v>2623166</v>
      </c>
      <c r="J3" s="16">
        <v>0</v>
      </c>
      <c r="K3" s="16">
        <v>0</v>
      </c>
      <c r="L3" s="16">
        <v>200030</v>
      </c>
      <c r="M3" s="16">
        <v>18635575</v>
      </c>
      <c r="N3" s="16">
        <v>0</v>
      </c>
      <c r="O3" s="16">
        <v>27152038</v>
      </c>
      <c r="P3" s="16">
        <v>0</v>
      </c>
      <c r="Q3" s="16">
        <v>34223525</v>
      </c>
      <c r="R3" s="16">
        <v>0</v>
      </c>
      <c r="S3" s="16">
        <v>0</v>
      </c>
      <c r="T3" s="16">
        <v>0</v>
      </c>
      <c r="U3" s="16">
        <v>2562691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7">
        <f>SUM(C3:AA3)</f>
        <v>134364128</v>
      </c>
      <c r="AK3" s="15">
        <v>35764181</v>
      </c>
      <c r="AL3" s="39">
        <v>605501</v>
      </c>
      <c r="AM3" s="16">
        <f>AN3+AO3</f>
        <v>538685</v>
      </c>
      <c r="AN3" s="16">
        <v>538685</v>
      </c>
      <c r="AO3" s="16"/>
      <c r="AP3" s="16">
        <v>2111459</v>
      </c>
      <c r="AQ3" s="17">
        <f>C3</f>
        <v>36369682</v>
      </c>
    </row>
    <row r="4" spans="1:43" s="4" customFormat="1" ht="1.9" customHeight="1" x14ac:dyDescent="0.2">
      <c r="A4" s="10"/>
      <c r="B4" s="13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20"/>
      <c r="AK4" s="18"/>
      <c r="AL4" s="40"/>
      <c r="AM4" s="19"/>
      <c r="AN4" s="19"/>
      <c r="AO4" s="19"/>
      <c r="AP4" s="19"/>
      <c r="AQ4" s="20"/>
    </row>
    <row r="5" spans="1:43" s="6" customFormat="1" x14ac:dyDescent="0.2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K5" s="15"/>
      <c r="AL5" s="39"/>
      <c r="AM5" s="16"/>
      <c r="AN5" s="16"/>
      <c r="AO5" s="16"/>
      <c r="AP5" s="16"/>
      <c r="AQ5" s="17"/>
    </row>
    <row r="6" spans="1:43" s="6" customFormat="1" x14ac:dyDescent="0.2">
      <c r="A6" s="11" t="s">
        <v>2</v>
      </c>
      <c r="B6" s="14" t="s">
        <v>3</v>
      </c>
      <c r="C6" s="15">
        <f>SUM(AK6)+(AL6)</f>
        <v>42412513</v>
      </c>
      <c r="D6" s="16">
        <v>850000</v>
      </c>
      <c r="E6" s="16">
        <f>266924+3840+43961+27684</f>
        <v>342409</v>
      </c>
      <c r="F6" s="16">
        <v>1128752</v>
      </c>
      <c r="G6" s="16">
        <v>0</v>
      </c>
      <c r="H6" s="16">
        <v>0</v>
      </c>
      <c r="I6" s="16">
        <f>88000+2500000</f>
        <v>2588000</v>
      </c>
      <c r="J6" s="16">
        <v>0</v>
      </c>
      <c r="K6" s="16">
        <v>0</v>
      </c>
      <c r="L6" s="16">
        <f>9000+30000+120000</f>
        <v>159000</v>
      </c>
      <c r="M6" s="16">
        <f>817000+17719960</f>
        <v>18536960</v>
      </c>
      <c r="N6" s="16">
        <v>0</v>
      </c>
      <c r="O6" s="16">
        <f>1113001+40040</f>
        <v>1153041</v>
      </c>
      <c r="P6" s="16">
        <v>0</v>
      </c>
      <c r="Q6" s="16">
        <f>1900000+750000+15000</f>
        <v>2665000</v>
      </c>
      <c r="R6" s="16">
        <v>0</v>
      </c>
      <c r="S6" s="16">
        <v>0</v>
      </c>
      <c r="T6" s="16">
        <v>0</v>
      </c>
      <c r="U6" s="16">
        <f>270+600000+728000</f>
        <v>1328270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7">
        <f>SUM(C6:AA6)</f>
        <v>71163945</v>
      </c>
      <c r="AK6" s="15">
        <f>34023979+3110099+4549353</f>
        <v>41683431</v>
      </c>
      <c r="AL6" s="39">
        <f>315450+130921+46000+5000+1990+40000+15600+23743+148280+2098</f>
        <v>729082</v>
      </c>
      <c r="AM6" s="16">
        <f>AN6+AO6</f>
        <v>134288</v>
      </c>
      <c r="AN6" s="16">
        <v>134288</v>
      </c>
      <c r="AO6" s="16"/>
      <c r="AP6" s="16">
        <v>0</v>
      </c>
      <c r="AQ6" s="17">
        <f>C6</f>
        <v>42412513</v>
      </c>
    </row>
    <row r="7" spans="1:43" s="6" customFormat="1" x14ac:dyDescent="0.2">
      <c r="A7" s="11" t="s">
        <v>4</v>
      </c>
      <c r="B7" s="14" t="s">
        <v>5</v>
      </c>
      <c r="C7" s="15">
        <f>SUM(AK7)+(AL7)</f>
        <v>21000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7">
        <f>SUM(C7:AA7)</f>
        <v>21000</v>
      </c>
      <c r="AK7" s="15">
        <v>21000</v>
      </c>
      <c r="AL7" s="39"/>
      <c r="AM7" s="16">
        <f t="shared" ref="AM7:AM9" si="0">AN7+AO7</f>
        <v>0</v>
      </c>
      <c r="AN7" s="16"/>
      <c r="AO7" s="16"/>
      <c r="AP7" s="16">
        <v>0</v>
      </c>
      <c r="AQ7" s="17">
        <f>C7</f>
        <v>21000</v>
      </c>
    </row>
    <row r="8" spans="1:43" s="6" customFormat="1" x14ac:dyDescent="0.2">
      <c r="A8" s="11" t="s">
        <v>6</v>
      </c>
      <c r="B8" s="14" t="s">
        <v>7</v>
      </c>
      <c r="C8" s="15">
        <f>SUM(AK8)+(AL8)</f>
        <v>142284562</v>
      </c>
      <c r="D8" s="16">
        <v>0</v>
      </c>
      <c r="E8" s="16">
        <f>150470+362525+124967</f>
        <v>637962</v>
      </c>
      <c r="F8" s="16">
        <v>7682259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f>750000+6600000+897500+3517474</f>
        <v>11764974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7">
        <f>SUM(C8:AA8)</f>
        <v>162369757</v>
      </c>
      <c r="AK8" s="15">
        <f>126552940+3871148+11860474</f>
        <v>142284562</v>
      </c>
      <c r="AL8" s="39"/>
      <c r="AM8" s="16">
        <f t="shared" si="0"/>
        <v>1203545</v>
      </c>
      <c r="AN8" s="16">
        <v>1203545</v>
      </c>
      <c r="AO8" s="16"/>
      <c r="AP8" s="16">
        <v>3871148</v>
      </c>
      <c r="AQ8" s="17">
        <f>C8</f>
        <v>142284562</v>
      </c>
    </row>
    <row r="9" spans="1:43" s="6" customFormat="1" x14ac:dyDescent="0.2">
      <c r="A9" s="11" t="s">
        <v>8</v>
      </c>
      <c r="B9" s="14" t="s">
        <v>9</v>
      </c>
      <c r="C9" s="15">
        <f>SUM(AK9)+(AL9)</f>
        <v>315000</v>
      </c>
      <c r="D9" s="16">
        <v>0</v>
      </c>
      <c r="E9" s="16">
        <f>2674307+5842126+563695+38750+501317</f>
        <v>9620195</v>
      </c>
      <c r="F9" s="16">
        <v>34839175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7">
        <f>SUM(C9:AA9)</f>
        <v>44774370</v>
      </c>
      <c r="AK9" s="15">
        <v>315000</v>
      </c>
      <c r="AL9" s="39"/>
      <c r="AM9" s="16">
        <f t="shared" si="0"/>
        <v>1002421</v>
      </c>
      <c r="AN9" s="16">
        <v>1002421</v>
      </c>
      <c r="AO9" s="16"/>
      <c r="AP9" s="16">
        <v>0</v>
      </c>
      <c r="AQ9" s="17">
        <f>C9</f>
        <v>315000</v>
      </c>
    </row>
    <row r="10" spans="1:43" s="6" customFormat="1" x14ac:dyDescent="0.2">
      <c r="A10" s="31" t="s">
        <v>92</v>
      </c>
      <c r="B10" s="32"/>
      <c r="C10" s="33">
        <f>SUM(AK10)+(AL10)</f>
        <v>185033075</v>
      </c>
      <c r="D10" s="34">
        <f t="shared" ref="D10:AB10" si="1">SUM(D6:D9)</f>
        <v>850000</v>
      </c>
      <c r="E10" s="34">
        <f t="shared" si="1"/>
        <v>10600566</v>
      </c>
      <c r="F10" s="34">
        <f t="shared" si="1"/>
        <v>43650186</v>
      </c>
      <c r="G10" s="34">
        <f t="shared" si="1"/>
        <v>0</v>
      </c>
      <c r="H10" s="34">
        <f t="shared" ref="H10" si="2">SUM(H6:H9)</f>
        <v>0</v>
      </c>
      <c r="I10" s="34">
        <f t="shared" si="1"/>
        <v>2588000</v>
      </c>
      <c r="J10" s="34">
        <f t="shared" si="1"/>
        <v>0</v>
      </c>
      <c r="K10" s="34">
        <f t="shared" si="1"/>
        <v>0</v>
      </c>
      <c r="L10" s="34">
        <f t="shared" si="1"/>
        <v>159000</v>
      </c>
      <c r="M10" s="34">
        <f t="shared" si="1"/>
        <v>18536960</v>
      </c>
      <c r="N10" s="34">
        <f t="shared" si="1"/>
        <v>0</v>
      </c>
      <c r="O10" s="34">
        <f t="shared" si="1"/>
        <v>1153041</v>
      </c>
      <c r="P10" s="34">
        <f t="shared" si="1"/>
        <v>0</v>
      </c>
      <c r="Q10" s="34">
        <f t="shared" si="1"/>
        <v>14429974</v>
      </c>
      <c r="R10" s="34">
        <f t="shared" si="1"/>
        <v>0</v>
      </c>
      <c r="S10" s="34">
        <f t="shared" si="1"/>
        <v>0</v>
      </c>
      <c r="T10" s="34">
        <f t="shared" si="1"/>
        <v>0</v>
      </c>
      <c r="U10" s="34">
        <f t="shared" si="1"/>
        <v>1328270</v>
      </c>
      <c r="V10" s="34">
        <f t="shared" si="1"/>
        <v>0</v>
      </c>
      <c r="W10" s="34">
        <f t="shared" si="1"/>
        <v>0</v>
      </c>
      <c r="X10" s="34">
        <f t="shared" si="1"/>
        <v>0</v>
      </c>
      <c r="Y10" s="34">
        <f t="shared" si="1"/>
        <v>0</v>
      </c>
      <c r="Z10" s="34">
        <f t="shared" si="1"/>
        <v>0</v>
      </c>
      <c r="AA10" s="34">
        <f t="shared" si="1"/>
        <v>0</v>
      </c>
      <c r="AB10" s="35">
        <f t="shared" si="1"/>
        <v>278329072</v>
      </c>
      <c r="AK10" s="41">
        <f t="shared" ref="AK10:AP10" si="3">SUM(AK6:AK9)</f>
        <v>184303993</v>
      </c>
      <c r="AL10" s="41">
        <f t="shared" si="3"/>
        <v>729082</v>
      </c>
      <c r="AM10" s="34">
        <f t="shared" si="3"/>
        <v>2340254</v>
      </c>
      <c r="AN10" s="34">
        <f t="shared" si="3"/>
        <v>2340254</v>
      </c>
      <c r="AO10" s="34">
        <f t="shared" si="3"/>
        <v>0</v>
      </c>
      <c r="AP10" s="34">
        <f t="shared" si="3"/>
        <v>3871148</v>
      </c>
      <c r="AQ10" s="35">
        <f t="shared" ref="AQ10" si="4">SUM(AQ6:AQ9)</f>
        <v>185033075</v>
      </c>
    </row>
    <row r="11" spans="1:43" s="6" customFormat="1" ht="1.9" customHeight="1" x14ac:dyDescent="0.2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17"/>
      <c r="AK11" s="42"/>
      <c r="AL11" s="42"/>
      <c r="AM11" s="22"/>
      <c r="AN11" s="22"/>
      <c r="AO11" s="22"/>
      <c r="AP11" s="22"/>
      <c r="AQ11" s="17"/>
    </row>
    <row r="12" spans="1:43" s="6" customFormat="1" ht="25.5" x14ac:dyDescent="0.2">
      <c r="A12" s="31" t="s">
        <v>93</v>
      </c>
      <c r="B12" s="32"/>
      <c r="C12" s="33">
        <f>SUM(AK12)+(AL12)</f>
        <v>221402757</v>
      </c>
      <c r="D12" s="34">
        <f t="shared" ref="D12:AB12" si="5">D3+D10</f>
        <v>3141341</v>
      </c>
      <c r="E12" s="34">
        <f t="shared" si="5"/>
        <v>20906646</v>
      </c>
      <c r="F12" s="34">
        <f t="shared" si="5"/>
        <v>43650186</v>
      </c>
      <c r="G12" s="34">
        <f t="shared" si="5"/>
        <v>0</v>
      </c>
      <c r="H12" s="34">
        <f t="shared" ref="H12" si="6">H3+H10</f>
        <v>0</v>
      </c>
      <c r="I12" s="34">
        <f t="shared" si="5"/>
        <v>5211166</v>
      </c>
      <c r="J12" s="34">
        <f t="shared" si="5"/>
        <v>0</v>
      </c>
      <c r="K12" s="34">
        <f t="shared" si="5"/>
        <v>0</v>
      </c>
      <c r="L12" s="34">
        <f t="shared" si="5"/>
        <v>359030</v>
      </c>
      <c r="M12" s="34">
        <f t="shared" si="5"/>
        <v>37172535</v>
      </c>
      <c r="N12" s="34">
        <f t="shared" si="5"/>
        <v>0</v>
      </c>
      <c r="O12" s="34">
        <f t="shared" si="5"/>
        <v>28305079</v>
      </c>
      <c r="P12" s="34">
        <f t="shared" si="5"/>
        <v>0</v>
      </c>
      <c r="Q12" s="34">
        <f t="shared" si="5"/>
        <v>48653499</v>
      </c>
      <c r="R12" s="34">
        <f t="shared" si="5"/>
        <v>0</v>
      </c>
      <c r="S12" s="34">
        <f t="shared" si="5"/>
        <v>0</v>
      </c>
      <c r="T12" s="34">
        <f t="shared" si="5"/>
        <v>0</v>
      </c>
      <c r="U12" s="34">
        <f t="shared" si="5"/>
        <v>3890961</v>
      </c>
      <c r="V12" s="34">
        <f t="shared" si="5"/>
        <v>0</v>
      </c>
      <c r="W12" s="34">
        <f t="shared" si="5"/>
        <v>0</v>
      </c>
      <c r="X12" s="34">
        <f t="shared" si="5"/>
        <v>0</v>
      </c>
      <c r="Y12" s="34">
        <f t="shared" si="5"/>
        <v>0</v>
      </c>
      <c r="Z12" s="34">
        <f t="shared" si="5"/>
        <v>0</v>
      </c>
      <c r="AA12" s="34">
        <f t="shared" si="5"/>
        <v>0</v>
      </c>
      <c r="AB12" s="35">
        <f t="shared" si="5"/>
        <v>412693200</v>
      </c>
      <c r="AK12" s="33">
        <f t="shared" ref="AK12:AP12" si="7">AK3+AK10</f>
        <v>220068174</v>
      </c>
      <c r="AL12" s="33">
        <f t="shared" si="7"/>
        <v>1334583</v>
      </c>
      <c r="AM12" s="34">
        <f t="shared" si="7"/>
        <v>2878939</v>
      </c>
      <c r="AN12" s="34">
        <f t="shared" si="7"/>
        <v>2878939</v>
      </c>
      <c r="AO12" s="34">
        <f t="shared" si="7"/>
        <v>0</v>
      </c>
      <c r="AP12" s="34">
        <f t="shared" si="7"/>
        <v>5982607</v>
      </c>
      <c r="AQ12" s="35">
        <f t="shared" ref="AQ12" si="8">AQ3+AQ10</f>
        <v>221402757</v>
      </c>
    </row>
    <row r="13" spans="1:43" s="6" customFormat="1" ht="1.9" customHeight="1" x14ac:dyDescent="0.2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17"/>
      <c r="AK13" s="42"/>
      <c r="AL13" s="42"/>
      <c r="AM13" s="22"/>
      <c r="AN13" s="22"/>
      <c r="AO13" s="22"/>
      <c r="AP13" s="22"/>
      <c r="AQ13" s="17"/>
    </row>
    <row r="14" spans="1:43" s="6" customFormat="1" ht="25.5" x14ac:dyDescent="0.2">
      <c r="A14" s="12" t="s">
        <v>94</v>
      </c>
      <c r="B14" s="14" t="s">
        <v>11</v>
      </c>
      <c r="C14" s="15">
        <f>SUM(AK14)+(AL14)</f>
        <v>-17417327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17">
        <f>SUM(C14:AA14)</f>
        <v>-17417327</v>
      </c>
      <c r="AK14" s="43">
        <v>-17417327</v>
      </c>
      <c r="AL14" s="43">
        <v>0</v>
      </c>
      <c r="AM14" s="23">
        <f>7778667+11145552</f>
        <v>18924219</v>
      </c>
      <c r="AN14" s="23">
        <v>11354531</v>
      </c>
      <c r="AO14" s="23"/>
      <c r="AP14" s="23">
        <v>0</v>
      </c>
      <c r="AQ14" s="17">
        <f>C14</f>
        <v>-17417327</v>
      </c>
    </row>
    <row r="15" spans="1:43" s="6" customFormat="1" x14ac:dyDescent="0.2">
      <c r="A15" s="12" t="s">
        <v>99</v>
      </c>
      <c r="B15" s="14" t="s">
        <v>12</v>
      </c>
      <c r="C15" s="15">
        <f>SUM(AK15)+(AL15)</f>
        <v>-1850000</v>
      </c>
      <c r="D15" s="16">
        <v>1850000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7">
        <f>SUM(C15:AA15)</f>
        <v>0</v>
      </c>
      <c r="AK15" s="39">
        <f>+-2600000+-1850000</f>
        <v>-4450000</v>
      </c>
      <c r="AL15" s="39">
        <v>2600000</v>
      </c>
      <c r="AM15" s="16">
        <v>0</v>
      </c>
      <c r="AN15" s="16">
        <v>0</v>
      </c>
      <c r="AO15" s="16"/>
      <c r="AP15" s="16">
        <v>0</v>
      </c>
      <c r="AQ15" s="17">
        <f>C15</f>
        <v>-1850000</v>
      </c>
    </row>
    <row r="16" spans="1:43" s="6" customFormat="1" ht="38.25" x14ac:dyDescent="0.2">
      <c r="A16" s="12" t="s">
        <v>13</v>
      </c>
      <c r="B16" s="14" t="s">
        <v>14</v>
      </c>
      <c r="C16" s="15">
        <f>SUM(AK16)+(AL16)</f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7">
        <f>SUM(C16:AA16)</f>
        <v>0</v>
      </c>
      <c r="AK16" s="39"/>
      <c r="AL16" s="39"/>
      <c r="AM16" s="16">
        <v>0</v>
      </c>
      <c r="AN16" s="16">
        <v>0</v>
      </c>
      <c r="AO16" s="16"/>
      <c r="AP16" s="16">
        <v>0</v>
      </c>
      <c r="AQ16" s="17">
        <f>SUM(D16:AB16)</f>
        <v>0</v>
      </c>
    </row>
    <row r="17" spans="1:43" s="6" customFormat="1" ht="1.9" customHeight="1" x14ac:dyDescent="0.2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17"/>
      <c r="AK17" s="42"/>
      <c r="AL17" s="42"/>
      <c r="AM17" s="22"/>
      <c r="AN17" s="22"/>
      <c r="AO17" s="22"/>
      <c r="AP17" s="22"/>
      <c r="AQ17" s="17"/>
    </row>
    <row r="18" spans="1:43" s="6" customFormat="1" ht="38.25" x14ac:dyDescent="0.2">
      <c r="A18" s="31" t="s">
        <v>101</v>
      </c>
      <c r="B18" s="32"/>
      <c r="C18" s="33">
        <f>SUM(AK18)+(AL18)</f>
        <v>202135430</v>
      </c>
      <c r="D18" s="34">
        <f t="shared" ref="D18:AB18" si="9">D12+D14+D15+D16</f>
        <v>4991341</v>
      </c>
      <c r="E18" s="34">
        <f t="shared" si="9"/>
        <v>20906646</v>
      </c>
      <c r="F18" s="34">
        <f t="shared" si="9"/>
        <v>43650186</v>
      </c>
      <c r="G18" s="34">
        <f t="shared" si="9"/>
        <v>0</v>
      </c>
      <c r="H18" s="34">
        <f t="shared" ref="H18" si="10">H12+H14+H15+H16</f>
        <v>0</v>
      </c>
      <c r="I18" s="34">
        <f t="shared" si="9"/>
        <v>5211166</v>
      </c>
      <c r="J18" s="34">
        <f t="shared" si="9"/>
        <v>0</v>
      </c>
      <c r="K18" s="34">
        <f t="shared" si="9"/>
        <v>0</v>
      </c>
      <c r="L18" s="34">
        <f t="shared" si="9"/>
        <v>359030</v>
      </c>
      <c r="M18" s="34">
        <f t="shared" si="9"/>
        <v>37172535</v>
      </c>
      <c r="N18" s="34">
        <f t="shared" si="9"/>
        <v>0</v>
      </c>
      <c r="O18" s="34">
        <f t="shared" si="9"/>
        <v>28305079</v>
      </c>
      <c r="P18" s="34">
        <f t="shared" si="9"/>
        <v>0</v>
      </c>
      <c r="Q18" s="34">
        <f t="shared" si="9"/>
        <v>48653499</v>
      </c>
      <c r="R18" s="34">
        <f t="shared" si="9"/>
        <v>0</v>
      </c>
      <c r="S18" s="34">
        <f t="shared" si="9"/>
        <v>0</v>
      </c>
      <c r="T18" s="34">
        <f t="shared" si="9"/>
        <v>0</v>
      </c>
      <c r="U18" s="34">
        <f t="shared" si="9"/>
        <v>3890961</v>
      </c>
      <c r="V18" s="34">
        <f t="shared" si="9"/>
        <v>0</v>
      </c>
      <c r="W18" s="34">
        <f t="shared" si="9"/>
        <v>0</v>
      </c>
      <c r="X18" s="34">
        <f t="shared" si="9"/>
        <v>0</v>
      </c>
      <c r="Y18" s="34">
        <f t="shared" si="9"/>
        <v>0</v>
      </c>
      <c r="Z18" s="34">
        <f t="shared" si="9"/>
        <v>0</v>
      </c>
      <c r="AA18" s="34">
        <f t="shared" si="9"/>
        <v>0</v>
      </c>
      <c r="AB18" s="35">
        <f t="shared" si="9"/>
        <v>395275873</v>
      </c>
      <c r="AK18" s="33">
        <f>AK12+AK14+AK15+AK16</f>
        <v>198200847</v>
      </c>
      <c r="AL18" s="33">
        <f>AL12+AL14+AL15+AL16</f>
        <v>3934583</v>
      </c>
      <c r="AM18" s="34">
        <f>AM12+AM14+AM15+AM16</f>
        <v>21803158</v>
      </c>
      <c r="AN18" s="34">
        <f t="shared" ref="AN18:AO18" si="11">AN12+AN14+AN15+AN16</f>
        <v>14233470</v>
      </c>
      <c r="AO18" s="34">
        <f t="shared" si="11"/>
        <v>0</v>
      </c>
      <c r="AP18" s="34">
        <f>AP12+AP14+AP15+AP16</f>
        <v>5982607</v>
      </c>
      <c r="AQ18" s="35">
        <f t="shared" ref="AQ18" si="12">AQ12+AQ14+AQ15+AQ16</f>
        <v>202135430</v>
      </c>
    </row>
    <row r="19" spans="1:43" s="6" customFormat="1" ht="1.9" customHeight="1" x14ac:dyDescent="0.2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17"/>
      <c r="AK19" s="42"/>
      <c r="AL19" s="42"/>
      <c r="AM19" s="22"/>
      <c r="AN19" s="22"/>
      <c r="AO19" s="22"/>
      <c r="AP19" s="22"/>
      <c r="AQ19" s="17"/>
    </row>
    <row r="20" spans="1:43" s="6" customFormat="1" x14ac:dyDescent="0.2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17"/>
      <c r="AK20" s="42"/>
      <c r="AL20" s="42"/>
      <c r="AM20" s="22"/>
      <c r="AN20" s="22"/>
      <c r="AO20" s="22"/>
      <c r="AP20" s="22"/>
      <c r="AQ20" s="17"/>
    </row>
    <row r="21" spans="1:43" s="6" customFormat="1" x14ac:dyDescent="0.2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17"/>
      <c r="AK21" s="42"/>
      <c r="AL21" s="42"/>
      <c r="AM21" s="22"/>
      <c r="AN21" s="22"/>
      <c r="AO21" s="22"/>
      <c r="AP21" s="22"/>
      <c r="AQ21" s="17"/>
    </row>
    <row r="22" spans="1:43" s="6" customFormat="1" x14ac:dyDescent="0.2">
      <c r="A22" s="11" t="s">
        <v>58</v>
      </c>
      <c r="B22" s="14" t="s">
        <v>16</v>
      </c>
      <c r="C22" s="15">
        <f t="shared" ref="C22:C27" si="13">SUM(AK22)+(AL22)</f>
        <v>67547123</v>
      </c>
      <c r="D22" s="16">
        <v>0</v>
      </c>
      <c r="E22" s="16">
        <v>0</v>
      </c>
      <c r="F22" s="16">
        <v>4194992</v>
      </c>
      <c r="G22" s="16">
        <v>0</v>
      </c>
      <c r="H22" s="16">
        <v>0</v>
      </c>
      <c r="I22" s="16">
        <v>9000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7">
        <f t="shared" ref="AB22:AB27" si="14">SUM(C22:AA22)</f>
        <v>71751115</v>
      </c>
      <c r="AK22" s="39">
        <f>52954304+13173962+23167</f>
        <v>66151433</v>
      </c>
      <c r="AL22" s="39">
        <v>1395690</v>
      </c>
      <c r="AM22" s="16">
        <f>AN22+AO22</f>
        <v>3226566</v>
      </c>
      <c r="AN22" s="16">
        <v>3226566</v>
      </c>
      <c r="AO22" s="16"/>
      <c r="AP22" s="16">
        <v>2789601</v>
      </c>
      <c r="AQ22" s="17">
        <f t="shared" ref="AQ22:AQ27" si="15">C22</f>
        <v>67547123</v>
      </c>
    </row>
    <row r="23" spans="1:43" s="6" customFormat="1" x14ac:dyDescent="0.2">
      <c r="A23" s="11" t="s">
        <v>139</v>
      </c>
      <c r="B23" s="14" t="s">
        <v>17</v>
      </c>
      <c r="C23" s="15">
        <f t="shared" si="13"/>
        <v>23805082</v>
      </c>
      <c r="D23" s="16">
        <v>0</v>
      </c>
      <c r="E23" s="16">
        <v>0</v>
      </c>
      <c r="F23" s="16">
        <v>1332607</v>
      </c>
      <c r="G23" s="16">
        <v>0</v>
      </c>
      <c r="H23" s="16">
        <v>0</v>
      </c>
      <c r="I23" s="16">
        <v>2000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7">
        <f t="shared" si="14"/>
        <v>25139689</v>
      </c>
      <c r="AK23" s="39">
        <f>18825008+4625280+5160</f>
        <v>23455448</v>
      </c>
      <c r="AL23" s="39">
        <v>349634</v>
      </c>
      <c r="AM23" s="16">
        <f t="shared" ref="AM23:AM27" si="16">AN23+AO23</f>
        <v>1132293</v>
      </c>
      <c r="AN23" s="16">
        <v>1132293</v>
      </c>
      <c r="AO23" s="16"/>
      <c r="AP23" s="16">
        <v>991585</v>
      </c>
      <c r="AQ23" s="17">
        <f t="shared" si="15"/>
        <v>23805082</v>
      </c>
    </row>
    <row r="24" spans="1:43" s="6" customFormat="1" ht="25.5" x14ac:dyDescent="0.2">
      <c r="A24" s="11" t="s">
        <v>59</v>
      </c>
      <c r="B24" s="14" t="s">
        <v>18</v>
      </c>
      <c r="C24" s="15">
        <f t="shared" si="13"/>
        <v>6814868</v>
      </c>
      <c r="D24" s="16">
        <v>0</v>
      </c>
      <c r="E24" s="16">
        <v>0</v>
      </c>
      <c r="F24" s="16">
        <f>19160+2200+2185185</f>
        <v>2206545</v>
      </c>
      <c r="G24" s="16">
        <v>0</v>
      </c>
      <c r="H24" s="16">
        <v>0</v>
      </c>
      <c r="I24" s="16">
        <v>572000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7">
        <f t="shared" si="14"/>
        <v>9593413</v>
      </c>
      <c r="AK24" s="39">
        <f>505302+52361+5192421+249000+309+226422+10486</f>
        <v>6236301</v>
      </c>
      <c r="AL24" s="39">
        <f>247611+80736+250220</f>
        <v>578567</v>
      </c>
      <c r="AM24" s="16">
        <f t="shared" si="16"/>
        <v>344915</v>
      </c>
      <c r="AN24" s="16">
        <v>344915</v>
      </c>
      <c r="AO24" s="16"/>
      <c r="AP24" s="16">
        <f>35178+49189</f>
        <v>84367</v>
      </c>
      <c r="AQ24" s="17">
        <f t="shared" si="15"/>
        <v>6814868</v>
      </c>
    </row>
    <row r="25" spans="1:43" s="6" customFormat="1" x14ac:dyDescent="0.2">
      <c r="A25" s="11" t="s">
        <v>60</v>
      </c>
      <c r="B25" s="14" t="s">
        <v>19</v>
      </c>
      <c r="C25" s="15">
        <f t="shared" si="13"/>
        <v>4243330</v>
      </c>
      <c r="D25" s="16">
        <v>0</v>
      </c>
      <c r="E25" s="16">
        <v>0</v>
      </c>
      <c r="F25" s="16">
        <v>12719517</v>
      </c>
      <c r="G25" s="16">
        <v>0</v>
      </c>
      <c r="H25" s="16">
        <v>0</v>
      </c>
      <c r="I25" s="16">
        <v>3748192</v>
      </c>
      <c r="J25" s="16">
        <v>0</v>
      </c>
      <c r="K25" s="16">
        <v>0</v>
      </c>
      <c r="L25" s="16">
        <f>243261+50000</f>
        <v>293261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7">
        <f t="shared" si="14"/>
        <v>21004300</v>
      </c>
      <c r="AK25" s="39">
        <f>3932724+64799+18565</f>
        <v>4016088</v>
      </c>
      <c r="AL25" s="39">
        <v>227242</v>
      </c>
      <c r="AM25" s="16">
        <f t="shared" si="16"/>
        <v>331200</v>
      </c>
      <c r="AN25" s="16">
        <v>331200</v>
      </c>
      <c r="AO25" s="16"/>
      <c r="AP25" s="16">
        <v>163512</v>
      </c>
      <c r="AQ25" s="17">
        <f t="shared" si="15"/>
        <v>4243330</v>
      </c>
    </row>
    <row r="26" spans="1:43" s="6" customFormat="1" x14ac:dyDescent="0.2">
      <c r="A26" s="11" t="s">
        <v>61</v>
      </c>
      <c r="B26" s="14" t="s">
        <v>20</v>
      </c>
      <c r="C26" s="15">
        <f t="shared" si="13"/>
        <v>182156</v>
      </c>
      <c r="D26" s="16">
        <v>0</v>
      </c>
      <c r="E26" s="16">
        <v>0</v>
      </c>
      <c r="F26" s="16">
        <v>137147</v>
      </c>
      <c r="G26" s="16">
        <v>0</v>
      </c>
      <c r="H26" s="16">
        <v>0</v>
      </c>
      <c r="I26" s="16">
        <v>298612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7">
        <f t="shared" si="14"/>
        <v>617915</v>
      </c>
      <c r="AK26" s="39">
        <f>175956+6200</f>
        <v>182156</v>
      </c>
      <c r="AL26" s="39"/>
      <c r="AM26" s="16">
        <f t="shared" si="16"/>
        <v>0</v>
      </c>
      <c r="AN26" s="16"/>
      <c r="AO26" s="16"/>
      <c r="AP26" s="16">
        <v>114829</v>
      </c>
      <c r="AQ26" s="17">
        <f t="shared" si="15"/>
        <v>182156</v>
      </c>
    </row>
    <row r="27" spans="1:43" s="6" customFormat="1" x14ac:dyDescent="0.2">
      <c r="A27" s="11" t="s">
        <v>62</v>
      </c>
      <c r="B27" s="14" t="s">
        <v>21</v>
      </c>
      <c r="C27" s="15">
        <f t="shared" si="13"/>
        <v>561519</v>
      </c>
      <c r="D27" s="16">
        <v>0</v>
      </c>
      <c r="E27" s="16">
        <v>0</v>
      </c>
      <c r="F27" s="16">
        <v>133754</v>
      </c>
      <c r="G27" s="16">
        <v>0</v>
      </c>
      <c r="H27" s="16">
        <v>0</v>
      </c>
      <c r="I27" s="16">
        <v>40000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7">
        <f t="shared" si="14"/>
        <v>735273</v>
      </c>
      <c r="AK27" s="39">
        <f>501018+30987</f>
        <v>532005</v>
      </c>
      <c r="AL27" s="39">
        <v>29514</v>
      </c>
      <c r="AM27" s="16">
        <f t="shared" si="16"/>
        <v>29360</v>
      </c>
      <c r="AN27" s="16">
        <v>29360</v>
      </c>
      <c r="AO27" s="16"/>
      <c r="AP27" s="16">
        <v>39236</v>
      </c>
      <c r="AQ27" s="17">
        <f t="shared" si="15"/>
        <v>561519</v>
      </c>
    </row>
    <row r="28" spans="1:43" s="6" customFormat="1" x14ac:dyDescent="0.2">
      <c r="A28" s="36" t="s">
        <v>77</v>
      </c>
      <c r="B28" s="32"/>
      <c r="C28" s="33">
        <f t="shared" ref="C28:AB28" si="17">SUM(C22:C27)</f>
        <v>103154078</v>
      </c>
      <c r="D28" s="34">
        <f t="shared" si="17"/>
        <v>0</v>
      </c>
      <c r="E28" s="34">
        <f t="shared" si="17"/>
        <v>0</v>
      </c>
      <c r="F28" s="34">
        <f t="shared" si="17"/>
        <v>20724562</v>
      </c>
      <c r="G28" s="34">
        <f t="shared" si="17"/>
        <v>0</v>
      </c>
      <c r="H28" s="34">
        <f t="shared" ref="H28" si="18">SUM(H22:H27)</f>
        <v>0</v>
      </c>
      <c r="I28" s="34">
        <f t="shared" si="17"/>
        <v>4669804</v>
      </c>
      <c r="J28" s="34">
        <f t="shared" si="17"/>
        <v>0</v>
      </c>
      <c r="K28" s="34">
        <f t="shared" si="17"/>
        <v>0</v>
      </c>
      <c r="L28" s="34">
        <f t="shared" si="17"/>
        <v>293261</v>
      </c>
      <c r="M28" s="34">
        <f t="shared" si="17"/>
        <v>0</v>
      </c>
      <c r="N28" s="34">
        <f t="shared" si="17"/>
        <v>0</v>
      </c>
      <c r="O28" s="34">
        <f t="shared" si="17"/>
        <v>0</v>
      </c>
      <c r="P28" s="34">
        <f t="shared" si="17"/>
        <v>0</v>
      </c>
      <c r="Q28" s="34">
        <f t="shared" si="17"/>
        <v>0</v>
      </c>
      <c r="R28" s="34">
        <f t="shared" si="17"/>
        <v>0</v>
      </c>
      <c r="S28" s="34">
        <f t="shared" si="17"/>
        <v>0</v>
      </c>
      <c r="T28" s="34">
        <f t="shared" si="17"/>
        <v>0</v>
      </c>
      <c r="U28" s="34">
        <f t="shared" si="17"/>
        <v>0</v>
      </c>
      <c r="V28" s="34">
        <f t="shared" si="17"/>
        <v>0</v>
      </c>
      <c r="W28" s="34">
        <f t="shared" si="17"/>
        <v>0</v>
      </c>
      <c r="X28" s="34">
        <f t="shared" si="17"/>
        <v>0</v>
      </c>
      <c r="Y28" s="34">
        <f t="shared" si="17"/>
        <v>0</v>
      </c>
      <c r="Z28" s="34">
        <f t="shared" si="17"/>
        <v>0</v>
      </c>
      <c r="AA28" s="34">
        <f t="shared" si="17"/>
        <v>0</v>
      </c>
      <c r="AB28" s="35">
        <f t="shared" si="17"/>
        <v>128841705</v>
      </c>
      <c r="AK28" s="33">
        <f t="shared" ref="AK28:AP28" si="19">SUM(AK22:AK27)</f>
        <v>100573431</v>
      </c>
      <c r="AL28" s="33">
        <f t="shared" si="19"/>
        <v>2580647</v>
      </c>
      <c r="AM28" s="34">
        <f t="shared" si="19"/>
        <v>5064334</v>
      </c>
      <c r="AN28" s="34">
        <f t="shared" si="19"/>
        <v>5064334</v>
      </c>
      <c r="AO28" s="34">
        <f t="shared" si="19"/>
        <v>0</v>
      </c>
      <c r="AP28" s="34">
        <f t="shared" si="19"/>
        <v>4183130</v>
      </c>
      <c r="AQ28" s="35">
        <f t="shared" ref="AQ28" si="20">SUM(AQ22:AQ27)</f>
        <v>103154078</v>
      </c>
    </row>
    <row r="29" spans="1:43" s="6" customFormat="1" x14ac:dyDescent="0.2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17"/>
      <c r="AK29" s="42"/>
      <c r="AL29" s="42"/>
      <c r="AM29" s="22"/>
      <c r="AN29" s="22"/>
      <c r="AO29" s="22"/>
      <c r="AP29" s="22"/>
      <c r="AQ29" s="17"/>
    </row>
    <row r="30" spans="1:43" s="6" customFormat="1" x14ac:dyDescent="0.2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17"/>
      <c r="AK30" s="42"/>
      <c r="AL30" s="42"/>
      <c r="AM30" s="22"/>
      <c r="AN30" s="22"/>
      <c r="AO30" s="22"/>
      <c r="AP30" s="22"/>
      <c r="AQ30" s="17"/>
    </row>
    <row r="31" spans="1:43" s="6" customFormat="1" x14ac:dyDescent="0.2">
      <c r="A31" s="11" t="s">
        <v>58</v>
      </c>
      <c r="B31" s="14" t="s">
        <v>16</v>
      </c>
      <c r="C31" s="15">
        <f t="shared" ref="C31:C36" si="21">SUM(AK31)+(AL31)</f>
        <v>9345190</v>
      </c>
      <c r="D31" s="16">
        <v>0</v>
      </c>
      <c r="E31" s="16">
        <v>0</v>
      </c>
      <c r="F31" s="16">
        <v>4551860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7">
        <f t="shared" ref="AB31:AB36" si="22">SUM(C31:AA31)</f>
        <v>13897050</v>
      </c>
      <c r="AK31" s="39">
        <v>9345190</v>
      </c>
      <c r="AL31" s="39"/>
      <c r="AM31" s="16">
        <f t="shared" ref="AM31:AM36" si="23">AN31+AO31</f>
        <v>553846</v>
      </c>
      <c r="AN31" s="16">
        <v>553846</v>
      </c>
      <c r="AO31" s="16"/>
      <c r="AP31" s="16">
        <v>0</v>
      </c>
      <c r="AQ31" s="17">
        <f t="shared" ref="AQ31:AQ36" si="24">C31</f>
        <v>9345190</v>
      </c>
    </row>
    <row r="32" spans="1:43" s="6" customFormat="1" x14ac:dyDescent="0.2">
      <c r="A32" s="11" t="s">
        <v>139</v>
      </c>
      <c r="B32" s="14" t="s">
        <v>17</v>
      </c>
      <c r="C32" s="15">
        <f t="shared" si="21"/>
        <v>3615592</v>
      </c>
      <c r="D32" s="16">
        <v>0</v>
      </c>
      <c r="E32" s="16">
        <v>0</v>
      </c>
      <c r="F32" s="16">
        <v>2911440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7">
        <f t="shared" si="22"/>
        <v>6527032</v>
      </c>
      <c r="AK32" s="39">
        <v>3615592</v>
      </c>
      <c r="AL32" s="39"/>
      <c r="AM32" s="16">
        <f t="shared" si="23"/>
        <v>177003</v>
      </c>
      <c r="AN32" s="16">
        <v>177003</v>
      </c>
      <c r="AO32" s="16"/>
      <c r="AP32" s="16">
        <v>0</v>
      </c>
      <c r="AQ32" s="17">
        <f t="shared" si="24"/>
        <v>3615592</v>
      </c>
    </row>
    <row r="33" spans="1:43" s="6" customFormat="1" ht="25.5" x14ac:dyDescent="0.2">
      <c r="A33" s="11" t="s">
        <v>59</v>
      </c>
      <c r="B33" s="14" t="s">
        <v>18</v>
      </c>
      <c r="C33" s="15">
        <f t="shared" si="21"/>
        <v>407236</v>
      </c>
      <c r="D33" s="16">
        <v>0</v>
      </c>
      <c r="E33" s="16">
        <v>0</v>
      </c>
      <c r="F33" s="16">
        <f>723164+20000+616679</f>
        <v>1359843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7">
        <f t="shared" si="22"/>
        <v>1767079</v>
      </c>
      <c r="AK33" s="39">
        <f>290988+7066+109182</f>
        <v>407236</v>
      </c>
      <c r="AL33" s="39"/>
      <c r="AM33" s="16">
        <f t="shared" si="23"/>
        <v>13918</v>
      </c>
      <c r="AN33" s="16">
        <v>13918</v>
      </c>
      <c r="AO33" s="16"/>
      <c r="AP33" s="16">
        <v>0</v>
      </c>
      <c r="AQ33" s="17">
        <f t="shared" si="24"/>
        <v>407236</v>
      </c>
    </row>
    <row r="34" spans="1:43" s="6" customFormat="1" x14ac:dyDescent="0.2">
      <c r="A34" s="11" t="s">
        <v>60</v>
      </c>
      <c r="B34" s="14" t="s">
        <v>19</v>
      </c>
      <c r="C34" s="15">
        <f t="shared" si="21"/>
        <v>101829</v>
      </c>
      <c r="D34" s="16">
        <v>0</v>
      </c>
      <c r="E34" s="16">
        <v>0</v>
      </c>
      <c r="F34" s="16">
        <v>3011212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31000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7">
        <f t="shared" si="22"/>
        <v>3144041</v>
      </c>
      <c r="AK34" s="39">
        <v>101829</v>
      </c>
      <c r="AL34" s="39"/>
      <c r="AM34" s="16">
        <f t="shared" si="23"/>
        <v>16900</v>
      </c>
      <c r="AN34" s="16">
        <v>16900</v>
      </c>
      <c r="AO34" s="16"/>
      <c r="AP34" s="16">
        <v>0</v>
      </c>
      <c r="AQ34" s="17">
        <f t="shared" si="24"/>
        <v>101829</v>
      </c>
    </row>
    <row r="35" spans="1:43" s="6" customFormat="1" x14ac:dyDescent="0.2">
      <c r="A35" s="11" t="s">
        <v>61</v>
      </c>
      <c r="B35" s="14" t="s">
        <v>20</v>
      </c>
      <c r="C35" s="15">
        <f t="shared" si="21"/>
        <v>154188</v>
      </c>
      <c r="D35" s="16">
        <v>0</v>
      </c>
      <c r="E35" s="16">
        <v>0</v>
      </c>
      <c r="F35" s="16">
        <v>82710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7">
        <f t="shared" si="22"/>
        <v>236898</v>
      </c>
      <c r="AK35" s="39">
        <v>154188</v>
      </c>
      <c r="AL35" s="39"/>
      <c r="AM35" s="16">
        <f t="shared" si="23"/>
        <v>0</v>
      </c>
      <c r="AN35" s="16"/>
      <c r="AO35" s="16"/>
      <c r="AP35" s="16">
        <v>0</v>
      </c>
      <c r="AQ35" s="17">
        <f t="shared" si="24"/>
        <v>154188</v>
      </c>
    </row>
    <row r="36" spans="1:43" s="6" customFormat="1" x14ac:dyDescent="0.2">
      <c r="A36" s="11" t="s">
        <v>62</v>
      </c>
      <c r="B36" s="14" t="s">
        <v>21</v>
      </c>
      <c r="C36" s="15">
        <f t="shared" si="21"/>
        <v>17072</v>
      </c>
      <c r="D36" s="16">
        <v>0</v>
      </c>
      <c r="E36" s="16">
        <v>0</v>
      </c>
      <c r="F36" s="16">
        <v>92400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7">
        <f t="shared" si="22"/>
        <v>109472</v>
      </c>
      <c r="AK36" s="39">
        <v>17072</v>
      </c>
      <c r="AL36" s="39"/>
      <c r="AM36" s="16">
        <f t="shared" si="23"/>
        <v>0</v>
      </c>
      <c r="AN36" s="16"/>
      <c r="AO36" s="16"/>
      <c r="AP36" s="16">
        <v>0</v>
      </c>
      <c r="AQ36" s="17">
        <f t="shared" si="24"/>
        <v>17072</v>
      </c>
    </row>
    <row r="37" spans="1:43" s="6" customFormat="1" x14ac:dyDescent="0.2">
      <c r="A37" s="36" t="s">
        <v>78</v>
      </c>
      <c r="B37" s="32"/>
      <c r="C37" s="33">
        <f t="shared" ref="C37:AB37" si="25">SUM(C31:C36)</f>
        <v>13641107</v>
      </c>
      <c r="D37" s="34">
        <f t="shared" si="25"/>
        <v>0</v>
      </c>
      <c r="E37" s="34">
        <f t="shared" si="25"/>
        <v>0</v>
      </c>
      <c r="F37" s="34">
        <f t="shared" si="25"/>
        <v>12009465</v>
      </c>
      <c r="G37" s="34">
        <f t="shared" si="25"/>
        <v>0</v>
      </c>
      <c r="H37" s="34">
        <f t="shared" ref="H37" si="26">SUM(H31:H36)</f>
        <v>0</v>
      </c>
      <c r="I37" s="34">
        <f t="shared" si="25"/>
        <v>0</v>
      </c>
      <c r="J37" s="34">
        <f t="shared" si="25"/>
        <v>0</v>
      </c>
      <c r="K37" s="34">
        <f t="shared" si="25"/>
        <v>0</v>
      </c>
      <c r="L37" s="34">
        <f t="shared" si="25"/>
        <v>31000</v>
      </c>
      <c r="M37" s="34">
        <f t="shared" si="25"/>
        <v>0</v>
      </c>
      <c r="N37" s="34">
        <f t="shared" si="25"/>
        <v>0</v>
      </c>
      <c r="O37" s="34">
        <f t="shared" si="25"/>
        <v>0</v>
      </c>
      <c r="P37" s="34">
        <f t="shared" si="25"/>
        <v>0</v>
      </c>
      <c r="Q37" s="34">
        <f t="shared" si="25"/>
        <v>0</v>
      </c>
      <c r="R37" s="34">
        <f t="shared" si="25"/>
        <v>0</v>
      </c>
      <c r="S37" s="34">
        <f t="shared" si="25"/>
        <v>0</v>
      </c>
      <c r="T37" s="34">
        <f t="shared" si="25"/>
        <v>0</v>
      </c>
      <c r="U37" s="34">
        <f t="shared" si="25"/>
        <v>0</v>
      </c>
      <c r="V37" s="34">
        <f t="shared" si="25"/>
        <v>0</v>
      </c>
      <c r="W37" s="34">
        <f t="shared" si="25"/>
        <v>0</v>
      </c>
      <c r="X37" s="34">
        <f t="shared" si="25"/>
        <v>0</v>
      </c>
      <c r="Y37" s="34">
        <f t="shared" si="25"/>
        <v>0</v>
      </c>
      <c r="Z37" s="34">
        <f t="shared" si="25"/>
        <v>0</v>
      </c>
      <c r="AA37" s="34">
        <f t="shared" si="25"/>
        <v>0</v>
      </c>
      <c r="AB37" s="35">
        <f t="shared" si="25"/>
        <v>25681572</v>
      </c>
      <c r="AK37" s="33">
        <f>SUM(AK31:AK36)</f>
        <v>13641107</v>
      </c>
      <c r="AL37" s="41"/>
      <c r="AM37" s="34">
        <f>SUM(AM31:AM36)</f>
        <v>761667</v>
      </c>
      <c r="AN37" s="34">
        <f>SUM(AN31:AN36)</f>
        <v>761667</v>
      </c>
      <c r="AO37" s="34">
        <f>SUM(AO31:AO36)</f>
        <v>0</v>
      </c>
      <c r="AP37" s="34">
        <f>SUM(AP31:AP36)</f>
        <v>0</v>
      </c>
      <c r="AQ37" s="35">
        <f t="shared" ref="AQ37" si="27">SUM(AQ31:AQ36)</f>
        <v>13641107</v>
      </c>
    </row>
    <row r="38" spans="1:43" s="6" customFormat="1" ht="1.9" customHeight="1" x14ac:dyDescent="0.2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17"/>
      <c r="AK38" s="42"/>
      <c r="AL38" s="42"/>
      <c r="AM38" s="22"/>
      <c r="AN38" s="22"/>
      <c r="AO38" s="22"/>
      <c r="AP38" s="22"/>
      <c r="AQ38" s="17"/>
    </row>
    <row r="39" spans="1:43" s="6" customFormat="1" x14ac:dyDescent="0.2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17"/>
      <c r="AK39" s="42"/>
      <c r="AL39" s="42"/>
      <c r="AM39" s="22"/>
      <c r="AN39" s="22"/>
      <c r="AO39" s="22"/>
      <c r="AP39" s="22"/>
      <c r="AQ39" s="17"/>
    </row>
    <row r="40" spans="1:43" s="6" customFormat="1" x14ac:dyDescent="0.2">
      <c r="A40" s="11" t="s">
        <v>58</v>
      </c>
      <c r="B40" s="14" t="s">
        <v>16</v>
      </c>
      <c r="C40" s="15">
        <f t="shared" ref="C40:C45" si="28">SUM(AK40)+(AL40)</f>
        <v>4531035</v>
      </c>
      <c r="D40" s="16">
        <v>0</v>
      </c>
      <c r="E40" s="16">
        <v>0</v>
      </c>
      <c r="F40" s="16">
        <v>3158149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7">
        <f t="shared" ref="AB40:AB45" si="29">SUM(C40:AA40)</f>
        <v>7689184</v>
      </c>
      <c r="AK40" s="39">
        <v>4298992</v>
      </c>
      <c r="AL40" s="39">
        <v>232043</v>
      </c>
      <c r="AM40" s="16">
        <f t="shared" ref="AM40:AM45" si="30">AN40+AO40</f>
        <v>86979</v>
      </c>
      <c r="AN40" s="16">
        <v>86979</v>
      </c>
      <c r="AO40" s="16"/>
      <c r="AP40" s="16">
        <v>382598</v>
      </c>
      <c r="AQ40" s="17">
        <f t="shared" ref="AQ40:AQ45" si="31">C40</f>
        <v>4531035</v>
      </c>
    </row>
    <row r="41" spans="1:43" s="6" customFormat="1" x14ac:dyDescent="0.2">
      <c r="A41" s="11" t="s">
        <v>139</v>
      </c>
      <c r="B41" s="14" t="s">
        <v>17</v>
      </c>
      <c r="C41" s="15">
        <f t="shared" si="28"/>
        <v>1705050</v>
      </c>
      <c r="D41" s="16">
        <v>0</v>
      </c>
      <c r="E41" s="16">
        <v>0</v>
      </c>
      <c r="F41" s="16">
        <v>980921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7">
        <f t="shared" si="29"/>
        <v>2685971</v>
      </c>
      <c r="AK41" s="39">
        <v>1635380</v>
      </c>
      <c r="AL41" s="39">
        <v>69670</v>
      </c>
      <c r="AM41" s="16">
        <f t="shared" si="30"/>
        <v>25710</v>
      </c>
      <c r="AN41" s="16">
        <v>25710</v>
      </c>
      <c r="AO41" s="16"/>
      <c r="AP41" s="16">
        <v>127777</v>
      </c>
      <c r="AQ41" s="17">
        <f t="shared" si="31"/>
        <v>1705050</v>
      </c>
    </row>
    <row r="42" spans="1:43" s="6" customFormat="1" ht="25.5" x14ac:dyDescent="0.2">
      <c r="A42" s="11" t="s">
        <v>59</v>
      </c>
      <c r="B42" s="14" t="s">
        <v>18</v>
      </c>
      <c r="C42" s="15">
        <f t="shared" si="28"/>
        <v>713624</v>
      </c>
      <c r="D42" s="16">
        <v>0</v>
      </c>
      <c r="E42" s="16">
        <v>0</v>
      </c>
      <c r="F42" s="16">
        <f>2248314+14583+1154723</f>
        <v>3417620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7">
        <f t="shared" si="29"/>
        <v>4131244</v>
      </c>
      <c r="AC42" s="45"/>
      <c r="AK42" s="39">
        <v>686442</v>
      </c>
      <c r="AL42" s="39">
        <v>27182</v>
      </c>
      <c r="AM42" s="16">
        <f t="shared" si="30"/>
        <v>224354</v>
      </c>
      <c r="AN42" s="16">
        <v>224354</v>
      </c>
      <c r="AO42" s="16"/>
      <c r="AP42" s="16">
        <v>0</v>
      </c>
      <c r="AQ42" s="17">
        <f t="shared" si="31"/>
        <v>713624</v>
      </c>
    </row>
    <row r="43" spans="1:43" s="6" customFormat="1" x14ac:dyDescent="0.2">
      <c r="A43" s="11" t="s">
        <v>60</v>
      </c>
      <c r="B43" s="14" t="s">
        <v>19</v>
      </c>
      <c r="C43" s="15">
        <f t="shared" si="28"/>
        <v>164257</v>
      </c>
      <c r="D43" s="16">
        <v>0</v>
      </c>
      <c r="E43" s="16">
        <v>0</v>
      </c>
      <c r="F43" s="16">
        <v>1111243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10000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7">
        <f t="shared" si="29"/>
        <v>1285500</v>
      </c>
      <c r="AK43" s="39">
        <v>143667</v>
      </c>
      <c r="AL43" s="39">
        <v>20590</v>
      </c>
      <c r="AM43" s="16">
        <f t="shared" si="30"/>
        <v>1200</v>
      </c>
      <c r="AN43" s="16">
        <v>1200</v>
      </c>
      <c r="AO43" s="16"/>
      <c r="AP43" s="16">
        <v>2616</v>
      </c>
      <c r="AQ43" s="17">
        <f t="shared" si="31"/>
        <v>164257</v>
      </c>
    </row>
    <row r="44" spans="1:43" s="6" customFormat="1" x14ac:dyDescent="0.2">
      <c r="A44" s="11" t="s">
        <v>61</v>
      </c>
      <c r="B44" s="14" t="s">
        <v>20</v>
      </c>
      <c r="C44" s="15">
        <f t="shared" si="28"/>
        <v>26561</v>
      </c>
      <c r="D44" s="16">
        <v>0</v>
      </c>
      <c r="E44" s="16">
        <v>0</v>
      </c>
      <c r="F44" s="16">
        <v>388817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7">
        <f t="shared" si="29"/>
        <v>415378</v>
      </c>
      <c r="AK44" s="39">
        <v>19946</v>
      </c>
      <c r="AL44" s="39">
        <v>6615</v>
      </c>
      <c r="AM44" s="16">
        <f t="shared" si="30"/>
        <v>0</v>
      </c>
      <c r="AN44" s="16"/>
      <c r="AO44" s="16"/>
      <c r="AP44" s="16">
        <v>0</v>
      </c>
      <c r="AQ44" s="17">
        <f t="shared" si="31"/>
        <v>26561</v>
      </c>
    </row>
    <row r="45" spans="1:43" s="6" customFormat="1" x14ac:dyDescent="0.2">
      <c r="A45" s="11" t="s">
        <v>62</v>
      </c>
      <c r="B45" s="14" t="s">
        <v>21</v>
      </c>
      <c r="C45" s="15">
        <f t="shared" si="28"/>
        <v>71718</v>
      </c>
      <c r="D45" s="16">
        <v>0</v>
      </c>
      <c r="E45" s="16">
        <v>0</v>
      </c>
      <c r="F45" s="16">
        <v>63103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7">
        <f t="shared" si="29"/>
        <v>134821</v>
      </c>
      <c r="AK45" s="39">
        <v>61244</v>
      </c>
      <c r="AL45" s="39">
        <v>10474</v>
      </c>
      <c r="AM45" s="16">
        <f t="shared" si="30"/>
        <v>0</v>
      </c>
      <c r="AN45" s="16"/>
      <c r="AO45" s="16"/>
      <c r="AP45" s="16">
        <v>2369</v>
      </c>
      <c r="AQ45" s="17">
        <f t="shared" si="31"/>
        <v>71718</v>
      </c>
    </row>
    <row r="46" spans="1:43" s="6" customFormat="1" x14ac:dyDescent="0.2">
      <c r="A46" s="36" t="s">
        <v>79</v>
      </c>
      <c r="B46" s="32"/>
      <c r="C46" s="33">
        <f t="shared" ref="C46:AB46" si="32">SUM(C40:C45)</f>
        <v>7212245</v>
      </c>
      <c r="D46" s="34">
        <f t="shared" si="32"/>
        <v>0</v>
      </c>
      <c r="E46" s="34">
        <f t="shared" si="32"/>
        <v>0</v>
      </c>
      <c r="F46" s="34">
        <f t="shared" si="32"/>
        <v>9119853</v>
      </c>
      <c r="G46" s="34">
        <f t="shared" si="32"/>
        <v>0</v>
      </c>
      <c r="H46" s="34">
        <f t="shared" ref="H46" si="33">SUM(H40:H45)</f>
        <v>0</v>
      </c>
      <c r="I46" s="34">
        <f t="shared" si="32"/>
        <v>0</v>
      </c>
      <c r="J46" s="34">
        <f t="shared" si="32"/>
        <v>0</v>
      </c>
      <c r="K46" s="34">
        <f t="shared" si="32"/>
        <v>0</v>
      </c>
      <c r="L46" s="34">
        <f t="shared" si="32"/>
        <v>10000</v>
      </c>
      <c r="M46" s="34">
        <f t="shared" si="32"/>
        <v>0</v>
      </c>
      <c r="N46" s="34">
        <f t="shared" si="32"/>
        <v>0</v>
      </c>
      <c r="O46" s="34">
        <f t="shared" si="32"/>
        <v>0</v>
      </c>
      <c r="P46" s="34">
        <f t="shared" si="32"/>
        <v>0</v>
      </c>
      <c r="Q46" s="34">
        <f t="shared" si="32"/>
        <v>0</v>
      </c>
      <c r="R46" s="34">
        <f t="shared" si="32"/>
        <v>0</v>
      </c>
      <c r="S46" s="34">
        <f t="shared" si="32"/>
        <v>0</v>
      </c>
      <c r="T46" s="34">
        <f t="shared" si="32"/>
        <v>0</v>
      </c>
      <c r="U46" s="34">
        <f t="shared" si="32"/>
        <v>0</v>
      </c>
      <c r="V46" s="34">
        <f t="shared" si="32"/>
        <v>0</v>
      </c>
      <c r="W46" s="34">
        <f t="shared" si="32"/>
        <v>0</v>
      </c>
      <c r="X46" s="34">
        <f t="shared" si="32"/>
        <v>0</v>
      </c>
      <c r="Y46" s="34">
        <f t="shared" si="32"/>
        <v>0</v>
      </c>
      <c r="Z46" s="34">
        <f t="shared" si="32"/>
        <v>0</v>
      </c>
      <c r="AA46" s="34">
        <f t="shared" si="32"/>
        <v>0</v>
      </c>
      <c r="AB46" s="35">
        <f t="shared" si="32"/>
        <v>16342098</v>
      </c>
      <c r="AK46" s="33">
        <f t="shared" ref="AK46:AP46" si="34">SUM(AK40:AK45)</f>
        <v>6845671</v>
      </c>
      <c r="AL46" s="33">
        <f t="shared" si="34"/>
        <v>366574</v>
      </c>
      <c r="AM46" s="34">
        <f t="shared" si="34"/>
        <v>338243</v>
      </c>
      <c r="AN46" s="34">
        <f t="shared" si="34"/>
        <v>338243</v>
      </c>
      <c r="AO46" s="34">
        <f t="shared" si="34"/>
        <v>0</v>
      </c>
      <c r="AP46" s="34">
        <f t="shared" si="34"/>
        <v>515360</v>
      </c>
      <c r="AQ46" s="35">
        <f t="shared" ref="AQ46" si="35">SUM(AQ40:AQ45)</f>
        <v>7212245</v>
      </c>
    </row>
    <row r="47" spans="1:43" s="6" customFormat="1" ht="1.9" customHeight="1" x14ac:dyDescent="0.2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17"/>
      <c r="AK47" s="42"/>
      <c r="AL47" s="42"/>
      <c r="AM47" s="22"/>
      <c r="AN47" s="22"/>
      <c r="AO47" s="22"/>
      <c r="AP47" s="22"/>
      <c r="AQ47" s="17"/>
    </row>
    <row r="48" spans="1:43" s="6" customFormat="1" ht="25.5" x14ac:dyDescent="0.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17"/>
      <c r="AK48" s="42"/>
      <c r="AL48" s="42"/>
      <c r="AM48" s="16"/>
      <c r="AN48" s="22"/>
      <c r="AO48" s="22"/>
      <c r="AP48" s="22"/>
      <c r="AQ48" s="17"/>
    </row>
    <row r="49" spans="1:43" s="6" customFormat="1" x14ac:dyDescent="0.2">
      <c r="A49" s="11" t="s">
        <v>58</v>
      </c>
      <c r="B49" s="14" t="s">
        <v>16</v>
      </c>
      <c r="C49" s="15">
        <f t="shared" ref="C49:C54" si="36">SUM(AK49)+(AL49)</f>
        <v>979513</v>
      </c>
      <c r="D49" s="16">
        <v>0</v>
      </c>
      <c r="E49" s="16">
        <v>0</v>
      </c>
      <c r="F49" s="16">
        <v>199773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7">
        <f t="shared" ref="AB49:AB54" si="37">SUM(C49:AA49)</f>
        <v>1179286</v>
      </c>
      <c r="AK49" s="39">
        <v>979513</v>
      </c>
      <c r="AL49" s="39"/>
      <c r="AM49" s="16">
        <f t="shared" ref="AM49:AM54" si="38">AN49+AO49</f>
        <v>167507</v>
      </c>
      <c r="AN49" s="16">
        <v>167507</v>
      </c>
      <c r="AO49" s="16"/>
      <c r="AP49" s="16">
        <v>0</v>
      </c>
      <c r="AQ49" s="17">
        <f t="shared" ref="AQ49:AQ54" si="39">C49</f>
        <v>979513</v>
      </c>
    </row>
    <row r="50" spans="1:43" s="6" customFormat="1" x14ac:dyDescent="0.2">
      <c r="A50" s="11" t="s">
        <v>139</v>
      </c>
      <c r="B50" s="14" t="s">
        <v>17</v>
      </c>
      <c r="C50" s="15">
        <f t="shared" si="36"/>
        <v>347141</v>
      </c>
      <c r="D50" s="16">
        <v>0</v>
      </c>
      <c r="E50" s="16">
        <v>0</v>
      </c>
      <c r="F50" s="16">
        <v>62350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7">
        <f t="shared" si="37"/>
        <v>409491</v>
      </c>
      <c r="AK50" s="39">
        <v>347141</v>
      </c>
      <c r="AL50" s="39"/>
      <c r="AM50" s="16">
        <f t="shared" si="38"/>
        <v>51475</v>
      </c>
      <c r="AN50" s="16">
        <v>51475</v>
      </c>
      <c r="AO50" s="16"/>
      <c r="AP50" s="16">
        <v>0</v>
      </c>
      <c r="AQ50" s="17">
        <f t="shared" si="39"/>
        <v>347141</v>
      </c>
    </row>
    <row r="51" spans="1:43" s="6" customFormat="1" ht="25.5" x14ac:dyDescent="0.2">
      <c r="A51" s="11" t="s">
        <v>59</v>
      </c>
      <c r="B51" s="14" t="s">
        <v>18</v>
      </c>
      <c r="C51" s="15">
        <f t="shared" si="36"/>
        <v>1380602</v>
      </c>
      <c r="D51" s="16">
        <v>0</v>
      </c>
      <c r="E51" s="16">
        <v>0</v>
      </c>
      <c r="F51" s="16">
        <f>3550+33739</f>
        <v>37289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7">
        <f t="shared" si="37"/>
        <v>1417891</v>
      </c>
      <c r="AK51" s="39">
        <f>1255942+124660</f>
        <v>1380602</v>
      </c>
      <c r="AL51" s="39"/>
      <c r="AM51" s="16">
        <f t="shared" si="38"/>
        <v>599709</v>
      </c>
      <c r="AN51" s="16">
        <v>599709</v>
      </c>
      <c r="AO51" s="16"/>
      <c r="AP51" s="16">
        <v>0</v>
      </c>
      <c r="AQ51" s="17">
        <f t="shared" si="39"/>
        <v>1380602</v>
      </c>
    </row>
    <row r="52" spans="1:43" s="6" customFormat="1" x14ac:dyDescent="0.2">
      <c r="A52" s="11" t="s">
        <v>60</v>
      </c>
      <c r="B52" s="14" t="s">
        <v>19</v>
      </c>
      <c r="C52" s="15">
        <f t="shared" si="36"/>
        <v>30947</v>
      </c>
      <c r="D52" s="16">
        <v>0</v>
      </c>
      <c r="E52" s="16">
        <v>0</v>
      </c>
      <c r="F52" s="16">
        <v>12225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7">
        <f t="shared" si="37"/>
        <v>43172</v>
      </c>
      <c r="AK52" s="39">
        <v>30947</v>
      </c>
      <c r="AL52" s="39"/>
      <c r="AM52" s="16">
        <f t="shared" si="38"/>
        <v>2300</v>
      </c>
      <c r="AN52" s="16">
        <v>2300</v>
      </c>
      <c r="AO52" s="16"/>
      <c r="AP52" s="16">
        <v>0</v>
      </c>
      <c r="AQ52" s="17">
        <f t="shared" si="39"/>
        <v>30947</v>
      </c>
    </row>
    <row r="53" spans="1:43" s="6" customFormat="1" x14ac:dyDescent="0.2">
      <c r="A53" s="11" t="s">
        <v>61</v>
      </c>
      <c r="B53" s="14" t="s">
        <v>20</v>
      </c>
      <c r="C53" s="15">
        <f t="shared" si="36"/>
        <v>13589</v>
      </c>
      <c r="D53" s="16">
        <v>0</v>
      </c>
      <c r="E53" s="16">
        <v>0</v>
      </c>
      <c r="F53" s="16">
        <v>11700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7">
        <f t="shared" si="37"/>
        <v>25289</v>
      </c>
      <c r="AK53" s="39">
        <v>13589</v>
      </c>
      <c r="AL53" s="39"/>
      <c r="AM53" s="16">
        <f t="shared" si="38"/>
        <v>0</v>
      </c>
      <c r="AN53" s="16"/>
      <c r="AO53" s="16"/>
      <c r="AP53" s="16">
        <v>0</v>
      </c>
      <c r="AQ53" s="17">
        <f t="shared" si="39"/>
        <v>13589</v>
      </c>
    </row>
    <row r="54" spans="1:43" s="6" customFormat="1" x14ac:dyDescent="0.2">
      <c r="A54" s="11" t="s">
        <v>62</v>
      </c>
      <c r="B54" s="14" t="s">
        <v>21</v>
      </c>
      <c r="C54" s="15">
        <f t="shared" si="36"/>
        <v>131907</v>
      </c>
      <c r="D54" s="16">
        <v>0</v>
      </c>
      <c r="E54" s="16">
        <v>0</v>
      </c>
      <c r="F54" s="16">
        <v>1250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7">
        <f t="shared" si="37"/>
        <v>133157</v>
      </c>
      <c r="AK54" s="39">
        <v>131907</v>
      </c>
      <c r="AL54" s="39"/>
      <c r="AM54" s="16">
        <f t="shared" si="38"/>
        <v>30000</v>
      </c>
      <c r="AN54" s="16">
        <v>30000</v>
      </c>
      <c r="AO54" s="16"/>
      <c r="AP54" s="16">
        <v>0</v>
      </c>
      <c r="AQ54" s="17">
        <f t="shared" si="39"/>
        <v>131907</v>
      </c>
    </row>
    <row r="55" spans="1:43" s="6" customFormat="1" x14ac:dyDescent="0.2">
      <c r="A55" s="36" t="s">
        <v>80</v>
      </c>
      <c r="B55" s="32"/>
      <c r="C55" s="33">
        <f t="shared" ref="C55:AB55" si="40">SUM(C49:C54)</f>
        <v>2883699</v>
      </c>
      <c r="D55" s="34">
        <f t="shared" si="40"/>
        <v>0</v>
      </c>
      <c r="E55" s="34">
        <f t="shared" si="40"/>
        <v>0</v>
      </c>
      <c r="F55" s="34">
        <f t="shared" si="40"/>
        <v>324587</v>
      </c>
      <c r="G55" s="34">
        <f t="shared" si="40"/>
        <v>0</v>
      </c>
      <c r="H55" s="34">
        <f t="shared" ref="H55" si="41">SUM(H49:H54)</f>
        <v>0</v>
      </c>
      <c r="I55" s="34">
        <f t="shared" si="40"/>
        <v>0</v>
      </c>
      <c r="J55" s="34">
        <f t="shared" si="40"/>
        <v>0</v>
      </c>
      <c r="K55" s="34">
        <f t="shared" si="40"/>
        <v>0</v>
      </c>
      <c r="L55" s="34">
        <f t="shared" si="40"/>
        <v>0</v>
      </c>
      <c r="M55" s="34">
        <f t="shared" si="40"/>
        <v>0</v>
      </c>
      <c r="N55" s="34">
        <f t="shared" si="40"/>
        <v>0</v>
      </c>
      <c r="O55" s="34">
        <f t="shared" si="40"/>
        <v>0</v>
      </c>
      <c r="P55" s="34">
        <f t="shared" si="40"/>
        <v>0</v>
      </c>
      <c r="Q55" s="34">
        <f t="shared" si="40"/>
        <v>0</v>
      </c>
      <c r="R55" s="34">
        <f t="shared" si="40"/>
        <v>0</v>
      </c>
      <c r="S55" s="34">
        <f t="shared" si="40"/>
        <v>0</v>
      </c>
      <c r="T55" s="34">
        <f t="shared" si="40"/>
        <v>0</v>
      </c>
      <c r="U55" s="34">
        <f t="shared" si="40"/>
        <v>0</v>
      </c>
      <c r="V55" s="34">
        <f t="shared" si="40"/>
        <v>0</v>
      </c>
      <c r="W55" s="34">
        <f t="shared" si="40"/>
        <v>0</v>
      </c>
      <c r="X55" s="34">
        <f t="shared" si="40"/>
        <v>0</v>
      </c>
      <c r="Y55" s="34">
        <f t="shared" si="40"/>
        <v>0</v>
      </c>
      <c r="Z55" s="34">
        <f t="shared" si="40"/>
        <v>0</v>
      </c>
      <c r="AA55" s="34">
        <f t="shared" si="40"/>
        <v>0</v>
      </c>
      <c r="AB55" s="35">
        <f t="shared" si="40"/>
        <v>3208286</v>
      </c>
      <c r="AK55" s="33">
        <f>SUM(AK49:AK54)</f>
        <v>2883699</v>
      </c>
      <c r="AL55" s="41"/>
      <c r="AM55" s="34">
        <f>SUM(AM49:AM54)</f>
        <v>850991</v>
      </c>
      <c r="AN55" s="34">
        <f>SUM(AN49:AN54)</f>
        <v>850991</v>
      </c>
      <c r="AO55" s="34">
        <f>SUM(AO49:AO54)</f>
        <v>0</v>
      </c>
      <c r="AP55" s="34">
        <f>SUM(AP49:AP54)</f>
        <v>0</v>
      </c>
      <c r="AQ55" s="35">
        <f t="shared" ref="AQ55" si="42">SUM(AQ49:AQ54)</f>
        <v>2883699</v>
      </c>
    </row>
    <row r="56" spans="1:43" s="6" customFormat="1" ht="1.9" customHeight="1" x14ac:dyDescent="0.2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17"/>
      <c r="AK56" s="42"/>
      <c r="AL56" s="42"/>
      <c r="AM56" s="22"/>
      <c r="AN56" s="22"/>
      <c r="AO56" s="22"/>
      <c r="AP56" s="22"/>
      <c r="AQ56" s="17"/>
    </row>
    <row r="57" spans="1:43" s="6" customFormat="1" x14ac:dyDescent="0.2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17"/>
      <c r="AK57" s="42"/>
      <c r="AL57" s="42"/>
      <c r="AM57" s="22"/>
      <c r="AN57" s="22"/>
      <c r="AO57" s="22"/>
      <c r="AP57" s="22"/>
      <c r="AQ57" s="17"/>
    </row>
    <row r="58" spans="1:43" s="6" customFormat="1" x14ac:dyDescent="0.2">
      <c r="A58" s="11" t="s">
        <v>58</v>
      </c>
      <c r="B58" s="14" t="s">
        <v>16</v>
      </c>
      <c r="C58" s="15">
        <f t="shared" ref="C58:C63" si="43">SUM(AK58)+(AL58)</f>
        <v>9911885</v>
      </c>
      <c r="D58" s="16">
        <v>0</v>
      </c>
      <c r="E58" s="16">
        <v>0</v>
      </c>
      <c r="F58" s="16">
        <v>85533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7">
        <f t="shared" ref="AB58:AB63" si="44">SUM(C58:AA58)</f>
        <v>9997418</v>
      </c>
      <c r="AK58" s="39">
        <v>9560846</v>
      </c>
      <c r="AL58" s="39">
        <v>351039</v>
      </c>
      <c r="AM58" s="16">
        <f t="shared" ref="AM58:AM63" si="45">AN58+AO58</f>
        <v>489471</v>
      </c>
      <c r="AN58" s="16">
        <v>489471</v>
      </c>
      <c r="AO58" s="16"/>
      <c r="AP58" s="16">
        <v>0</v>
      </c>
      <c r="AQ58" s="17">
        <f t="shared" ref="AQ58:AQ63" si="46">C58</f>
        <v>9911885</v>
      </c>
    </row>
    <row r="59" spans="1:43" s="6" customFormat="1" x14ac:dyDescent="0.2">
      <c r="A59" s="11" t="s">
        <v>139</v>
      </c>
      <c r="B59" s="14" t="s">
        <v>17</v>
      </c>
      <c r="C59" s="15">
        <f t="shared" si="43"/>
        <v>3322400</v>
      </c>
      <c r="D59" s="16">
        <v>0</v>
      </c>
      <c r="E59" s="16">
        <v>0</v>
      </c>
      <c r="F59" s="16">
        <v>27574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7">
        <f t="shared" si="44"/>
        <v>3349974</v>
      </c>
      <c r="AK59" s="39">
        <v>3210122</v>
      </c>
      <c r="AL59" s="39">
        <v>112278</v>
      </c>
      <c r="AM59" s="16">
        <f t="shared" si="45"/>
        <v>154833</v>
      </c>
      <c r="AN59" s="16">
        <v>154833</v>
      </c>
      <c r="AO59" s="16"/>
      <c r="AP59" s="16">
        <v>0</v>
      </c>
      <c r="AQ59" s="17">
        <f t="shared" si="46"/>
        <v>3322400</v>
      </c>
    </row>
    <row r="60" spans="1:43" s="6" customFormat="1" ht="25.5" x14ac:dyDescent="0.2">
      <c r="A60" s="11" t="s">
        <v>59</v>
      </c>
      <c r="B60" s="14" t="s">
        <v>18</v>
      </c>
      <c r="C60" s="15">
        <f t="shared" si="43"/>
        <v>101407</v>
      </c>
      <c r="D60" s="16">
        <v>0</v>
      </c>
      <c r="E60" s="16">
        <v>0</v>
      </c>
      <c r="F60" s="16">
        <v>37708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7">
        <f t="shared" si="44"/>
        <v>139115</v>
      </c>
      <c r="AK60" s="39">
        <f>28360+38637+34410</f>
        <v>101407</v>
      </c>
      <c r="AL60" s="39">
        <v>0</v>
      </c>
      <c r="AM60" s="16">
        <f t="shared" si="45"/>
        <v>11500</v>
      </c>
      <c r="AN60" s="16">
        <v>11500</v>
      </c>
      <c r="AO60" s="16"/>
      <c r="AP60" s="16">
        <v>0</v>
      </c>
      <c r="AQ60" s="17">
        <f t="shared" si="46"/>
        <v>101407</v>
      </c>
    </row>
    <row r="61" spans="1:43" s="6" customFormat="1" x14ac:dyDescent="0.2">
      <c r="A61" s="11" t="s">
        <v>60</v>
      </c>
      <c r="B61" s="14" t="s">
        <v>19</v>
      </c>
      <c r="C61" s="15">
        <f t="shared" si="43"/>
        <v>230837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7">
        <f t="shared" si="44"/>
        <v>230837</v>
      </c>
      <c r="AK61" s="39">
        <v>230837</v>
      </c>
      <c r="AL61" s="39">
        <v>0</v>
      </c>
      <c r="AM61" s="16">
        <f t="shared" si="45"/>
        <v>14500</v>
      </c>
      <c r="AN61" s="16">
        <v>14500</v>
      </c>
      <c r="AO61" s="16"/>
      <c r="AP61" s="16">
        <v>0</v>
      </c>
      <c r="AQ61" s="17">
        <f t="shared" si="46"/>
        <v>230837</v>
      </c>
    </row>
    <row r="62" spans="1:43" s="6" customFormat="1" x14ac:dyDescent="0.2">
      <c r="A62" s="11" t="s">
        <v>61</v>
      </c>
      <c r="B62" s="14" t="s">
        <v>20</v>
      </c>
      <c r="C62" s="15">
        <f t="shared" si="43"/>
        <v>4630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7">
        <f t="shared" si="44"/>
        <v>4630</v>
      </c>
      <c r="AK62" s="39">
        <v>4630</v>
      </c>
      <c r="AL62" s="39"/>
      <c r="AM62" s="16">
        <f t="shared" si="45"/>
        <v>0</v>
      </c>
      <c r="AN62" s="16"/>
      <c r="AO62" s="16"/>
      <c r="AP62" s="16">
        <v>0</v>
      </c>
      <c r="AQ62" s="17">
        <f t="shared" si="46"/>
        <v>4630</v>
      </c>
    </row>
    <row r="63" spans="1:43" s="6" customFormat="1" x14ac:dyDescent="0.2">
      <c r="A63" s="11" t="s">
        <v>62</v>
      </c>
      <c r="B63" s="14" t="s">
        <v>21</v>
      </c>
      <c r="C63" s="15">
        <f t="shared" si="43"/>
        <v>35440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7">
        <f t="shared" si="44"/>
        <v>35440</v>
      </c>
      <c r="AK63" s="39">
        <v>35440</v>
      </c>
      <c r="AL63" s="39"/>
      <c r="AM63" s="16">
        <f t="shared" si="45"/>
        <v>0</v>
      </c>
      <c r="AN63" s="16"/>
      <c r="AO63" s="16"/>
      <c r="AP63" s="16">
        <v>0</v>
      </c>
      <c r="AQ63" s="17">
        <f t="shared" si="46"/>
        <v>35440</v>
      </c>
    </row>
    <row r="64" spans="1:43" s="6" customFormat="1" x14ac:dyDescent="0.2">
      <c r="A64" s="36" t="s">
        <v>80</v>
      </c>
      <c r="B64" s="32"/>
      <c r="C64" s="33">
        <f t="shared" ref="C64:AB64" si="47">SUM(C58:C63)</f>
        <v>13606599</v>
      </c>
      <c r="D64" s="34">
        <f t="shared" si="47"/>
        <v>0</v>
      </c>
      <c r="E64" s="34">
        <f t="shared" si="47"/>
        <v>0</v>
      </c>
      <c r="F64" s="34">
        <f t="shared" si="47"/>
        <v>150815</v>
      </c>
      <c r="G64" s="34">
        <f t="shared" si="47"/>
        <v>0</v>
      </c>
      <c r="H64" s="34">
        <f t="shared" ref="H64" si="48">SUM(H58:H63)</f>
        <v>0</v>
      </c>
      <c r="I64" s="34">
        <f t="shared" si="47"/>
        <v>0</v>
      </c>
      <c r="J64" s="34">
        <f t="shared" si="47"/>
        <v>0</v>
      </c>
      <c r="K64" s="34">
        <f t="shared" si="47"/>
        <v>0</v>
      </c>
      <c r="L64" s="34">
        <f t="shared" si="47"/>
        <v>0</v>
      </c>
      <c r="M64" s="34">
        <f t="shared" si="47"/>
        <v>0</v>
      </c>
      <c r="N64" s="34">
        <f t="shared" si="47"/>
        <v>0</v>
      </c>
      <c r="O64" s="34">
        <f t="shared" si="47"/>
        <v>0</v>
      </c>
      <c r="P64" s="34">
        <f t="shared" si="47"/>
        <v>0</v>
      </c>
      <c r="Q64" s="34">
        <f t="shared" si="47"/>
        <v>0</v>
      </c>
      <c r="R64" s="34">
        <f t="shared" si="47"/>
        <v>0</v>
      </c>
      <c r="S64" s="34">
        <f t="shared" si="47"/>
        <v>0</v>
      </c>
      <c r="T64" s="34">
        <f t="shared" si="47"/>
        <v>0</v>
      </c>
      <c r="U64" s="34">
        <f t="shared" si="47"/>
        <v>0</v>
      </c>
      <c r="V64" s="34">
        <f t="shared" si="47"/>
        <v>0</v>
      </c>
      <c r="W64" s="34">
        <f t="shared" si="47"/>
        <v>0</v>
      </c>
      <c r="X64" s="34">
        <f t="shared" si="47"/>
        <v>0</v>
      </c>
      <c r="Y64" s="34">
        <f t="shared" si="47"/>
        <v>0</v>
      </c>
      <c r="Z64" s="34">
        <f t="shared" si="47"/>
        <v>0</v>
      </c>
      <c r="AA64" s="34">
        <f t="shared" si="47"/>
        <v>0</v>
      </c>
      <c r="AB64" s="35">
        <f t="shared" si="47"/>
        <v>13757414</v>
      </c>
      <c r="AK64" s="33">
        <f t="shared" ref="AK64:AP64" si="49">SUM(AK58:AK63)</f>
        <v>13143282</v>
      </c>
      <c r="AL64" s="33">
        <f t="shared" si="49"/>
        <v>463317</v>
      </c>
      <c r="AM64" s="34">
        <f t="shared" si="49"/>
        <v>670304</v>
      </c>
      <c r="AN64" s="34">
        <f t="shared" si="49"/>
        <v>670304</v>
      </c>
      <c r="AO64" s="34">
        <f t="shared" si="49"/>
        <v>0</v>
      </c>
      <c r="AP64" s="34">
        <f t="shared" si="49"/>
        <v>0</v>
      </c>
      <c r="AQ64" s="35">
        <f t="shared" ref="AQ64" si="50">SUM(AQ58:AQ63)</f>
        <v>13606599</v>
      </c>
    </row>
    <row r="65" spans="1:43" s="6" customFormat="1" ht="1.9" customHeight="1" x14ac:dyDescent="0.2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17"/>
      <c r="AK65" s="42"/>
      <c r="AL65" s="42"/>
      <c r="AM65" s="22"/>
      <c r="AN65" s="22"/>
      <c r="AO65" s="22"/>
      <c r="AP65" s="22"/>
      <c r="AQ65" s="17"/>
    </row>
    <row r="66" spans="1:43" s="6" customFormat="1" ht="25.5" x14ac:dyDescent="0.2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17"/>
      <c r="AK66" s="42"/>
      <c r="AL66" s="42"/>
      <c r="AM66" s="22"/>
      <c r="AN66" s="22"/>
      <c r="AO66" s="22"/>
      <c r="AP66" s="22"/>
      <c r="AQ66" s="17"/>
    </row>
    <row r="67" spans="1:43" s="6" customFormat="1" x14ac:dyDescent="0.2">
      <c r="A67" s="11" t="s">
        <v>58</v>
      </c>
      <c r="B67" s="14" t="s">
        <v>16</v>
      </c>
      <c r="C67" s="15">
        <f t="shared" ref="C67:C72" si="51">SUM(AK67)+(AL67)</f>
        <v>2081320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7">
        <f t="shared" ref="AB67:AB72" si="52">SUM(C67:AA67)</f>
        <v>2081320</v>
      </c>
      <c r="AK67" s="39">
        <v>2081320</v>
      </c>
      <c r="AL67" s="39"/>
      <c r="AM67" s="16">
        <f t="shared" ref="AM67:AM72" si="53">AN67+AO67</f>
        <v>67062</v>
      </c>
      <c r="AN67" s="16">
        <v>67062</v>
      </c>
      <c r="AO67" s="16"/>
      <c r="AP67" s="16">
        <v>0</v>
      </c>
      <c r="AQ67" s="17">
        <f t="shared" ref="AQ67:AQ72" si="54">C67</f>
        <v>2081320</v>
      </c>
    </row>
    <row r="68" spans="1:43" s="6" customFormat="1" x14ac:dyDescent="0.2">
      <c r="A68" s="11" t="s">
        <v>139</v>
      </c>
      <c r="B68" s="14" t="s">
        <v>17</v>
      </c>
      <c r="C68" s="15">
        <f t="shared" si="51"/>
        <v>769223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7">
        <f t="shared" si="52"/>
        <v>769223</v>
      </c>
      <c r="AK68" s="39">
        <v>769223</v>
      </c>
      <c r="AL68" s="39"/>
      <c r="AM68" s="16">
        <f t="shared" si="53"/>
        <v>21334</v>
      </c>
      <c r="AN68" s="16">
        <v>21334</v>
      </c>
      <c r="AO68" s="16"/>
      <c r="AP68" s="16">
        <v>0</v>
      </c>
      <c r="AQ68" s="17">
        <f t="shared" si="54"/>
        <v>769223</v>
      </c>
    </row>
    <row r="69" spans="1:43" s="6" customFormat="1" ht="25.5" x14ac:dyDescent="0.2">
      <c r="A69" s="11" t="s">
        <v>59</v>
      </c>
      <c r="B69" s="14" t="s">
        <v>18</v>
      </c>
      <c r="C69" s="15">
        <f t="shared" si="51"/>
        <v>511101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7">
        <f t="shared" si="52"/>
        <v>511101</v>
      </c>
      <c r="AK69" s="39">
        <f>62158+396217+52726</f>
        <v>511101</v>
      </c>
      <c r="AL69" s="39"/>
      <c r="AM69" s="16">
        <f t="shared" si="53"/>
        <v>170400</v>
      </c>
      <c r="AN69" s="16">
        <v>170400</v>
      </c>
      <c r="AO69" s="16"/>
      <c r="AP69" s="16">
        <v>0</v>
      </c>
      <c r="AQ69" s="17">
        <f t="shared" si="54"/>
        <v>511101</v>
      </c>
    </row>
    <row r="70" spans="1:43" s="6" customFormat="1" x14ac:dyDescent="0.2">
      <c r="A70" s="11" t="s">
        <v>60</v>
      </c>
      <c r="B70" s="14" t="s">
        <v>19</v>
      </c>
      <c r="C70" s="15">
        <f t="shared" si="51"/>
        <v>302603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5000</v>
      </c>
      <c r="M70" s="16">
        <v>0</v>
      </c>
      <c r="N70" s="16">
        <v>0</v>
      </c>
      <c r="O70" s="16">
        <v>0</v>
      </c>
      <c r="P70" s="16">
        <v>0</v>
      </c>
      <c r="Q70" s="16"/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7">
        <f t="shared" si="52"/>
        <v>307603</v>
      </c>
      <c r="AK70" s="39">
        <v>302603</v>
      </c>
      <c r="AL70" s="39"/>
      <c r="AM70" s="16">
        <f t="shared" si="53"/>
        <v>2500</v>
      </c>
      <c r="AN70" s="16">
        <v>2500</v>
      </c>
      <c r="AO70" s="16"/>
      <c r="AP70" s="16">
        <v>0</v>
      </c>
      <c r="AQ70" s="17">
        <f t="shared" si="54"/>
        <v>302603</v>
      </c>
    </row>
    <row r="71" spans="1:43" s="6" customFormat="1" x14ac:dyDescent="0.2">
      <c r="A71" s="11" t="s">
        <v>61</v>
      </c>
      <c r="B71" s="14" t="s">
        <v>20</v>
      </c>
      <c r="C71" s="15">
        <f t="shared" si="51"/>
        <v>41368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/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7">
        <f t="shared" si="52"/>
        <v>41368</v>
      </c>
      <c r="AK71" s="39">
        <v>41368</v>
      </c>
      <c r="AL71" s="39"/>
      <c r="AM71" s="16">
        <f t="shared" si="53"/>
        <v>0</v>
      </c>
      <c r="AN71" s="16"/>
      <c r="AO71" s="16"/>
      <c r="AP71" s="16">
        <v>0</v>
      </c>
      <c r="AQ71" s="17">
        <f t="shared" si="54"/>
        <v>41368</v>
      </c>
    </row>
    <row r="72" spans="1:43" s="6" customFormat="1" x14ac:dyDescent="0.2">
      <c r="A72" s="11" t="s">
        <v>62</v>
      </c>
      <c r="B72" s="14" t="s">
        <v>21</v>
      </c>
      <c r="C72" s="15">
        <f t="shared" si="51"/>
        <v>-580445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7">
        <f t="shared" si="52"/>
        <v>-580445</v>
      </c>
      <c r="AK72" s="39">
        <v>-580445</v>
      </c>
      <c r="AL72" s="39"/>
      <c r="AM72" s="16">
        <f t="shared" si="53"/>
        <v>10000</v>
      </c>
      <c r="AN72" s="16">
        <v>10000</v>
      </c>
      <c r="AO72" s="16"/>
      <c r="AP72" s="16">
        <v>0</v>
      </c>
      <c r="AQ72" s="17">
        <f t="shared" si="54"/>
        <v>-580445</v>
      </c>
    </row>
    <row r="73" spans="1:43" s="6" customFormat="1" x14ac:dyDescent="0.2">
      <c r="A73" s="36" t="s">
        <v>91</v>
      </c>
      <c r="B73" s="32"/>
      <c r="C73" s="33">
        <f t="shared" ref="C73:AB73" si="55">SUM(C67:C72)</f>
        <v>3125170</v>
      </c>
      <c r="D73" s="34">
        <f t="shared" si="55"/>
        <v>0</v>
      </c>
      <c r="E73" s="34">
        <f t="shared" si="55"/>
        <v>0</v>
      </c>
      <c r="F73" s="34">
        <f t="shared" si="55"/>
        <v>0</v>
      </c>
      <c r="G73" s="34">
        <f t="shared" si="55"/>
        <v>0</v>
      </c>
      <c r="H73" s="34">
        <f t="shared" ref="H73" si="56">SUM(H67:H72)</f>
        <v>0</v>
      </c>
      <c r="I73" s="34">
        <f t="shared" si="55"/>
        <v>0</v>
      </c>
      <c r="J73" s="34">
        <f t="shared" si="55"/>
        <v>0</v>
      </c>
      <c r="K73" s="34">
        <f t="shared" si="55"/>
        <v>0</v>
      </c>
      <c r="L73" s="34">
        <f t="shared" si="55"/>
        <v>5000</v>
      </c>
      <c r="M73" s="34">
        <f t="shared" si="55"/>
        <v>0</v>
      </c>
      <c r="N73" s="34">
        <f t="shared" si="55"/>
        <v>0</v>
      </c>
      <c r="O73" s="34">
        <f t="shared" si="55"/>
        <v>0</v>
      </c>
      <c r="P73" s="34">
        <f t="shared" si="55"/>
        <v>0</v>
      </c>
      <c r="Q73" s="34">
        <f t="shared" si="55"/>
        <v>0</v>
      </c>
      <c r="R73" s="34">
        <f t="shared" si="55"/>
        <v>0</v>
      </c>
      <c r="S73" s="34">
        <f t="shared" si="55"/>
        <v>0</v>
      </c>
      <c r="T73" s="34">
        <f t="shared" si="55"/>
        <v>0</v>
      </c>
      <c r="U73" s="34">
        <f t="shared" si="55"/>
        <v>0</v>
      </c>
      <c r="V73" s="34">
        <f t="shared" si="55"/>
        <v>0</v>
      </c>
      <c r="W73" s="34">
        <f t="shared" si="55"/>
        <v>0</v>
      </c>
      <c r="X73" s="34">
        <f t="shared" si="55"/>
        <v>0</v>
      </c>
      <c r="Y73" s="34">
        <f t="shared" si="55"/>
        <v>0</v>
      </c>
      <c r="Z73" s="34">
        <f t="shared" si="55"/>
        <v>0</v>
      </c>
      <c r="AA73" s="34">
        <f t="shared" si="55"/>
        <v>0</v>
      </c>
      <c r="AB73" s="35">
        <f t="shared" si="55"/>
        <v>3130170</v>
      </c>
      <c r="AK73" s="33">
        <f>SUM(AK67:AK72)</f>
        <v>3125170</v>
      </c>
      <c r="AL73" s="41"/>
      <c r="AM73" s="34">
        <f>SUM(AM67:AM72)</f>
        <v>271296</v>
      </c>
      <c r="AN73" s="34">
        <f>SUM(AN67:AN72)</f>
        <v>271296</v>
      </c>
      <c r="AO73" s="34">
        <f>SUM(AO67:AO72)</f>
        <v>0</v>
      </c>
      <c r="AP73" s="34">
        <f>SUM(AP67:AP72)</f>
        <v>0</v>
      </c>
      <c r="AQ73" s="35">
        <f t="shared" ref="AQ73" si="57">SUM(AQ67:AQ72)</f>
        <v>3125170</v>
      </c>
    </row>
    <row r="74" spans="1:43" s="6" customFormat="1" ht="25.5" x14ac:dyDescent="0.2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17"/>
      <c r="AK74" s="42"/>
      <c r="AL74" s="42"/>
      <c r="AM74" s="22"/>
      <c r="AN74" s="22"/>
      <c r="AO74" s="22"/>
      <c r="AP74" s="22"/>
      <c r="AQ74" s="17"/>
    </row>
    <row r="75" spans="1:43" s="6" customFormat="1" x14ac:dyDescent="0.2">
      <c r="A75" s="11" t="s">
        <v>58</v>
      </c>
      <c r="B75" s="14" t="s">
        <v>16</v>
      </c>
      <c r="C75" s="15">
        <f t="shared" ref="C75:C80" si="58">SUM(AK75)+(AL75)</f>
        <v>9779392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7">
        <f t="shared" ref="AB75:AB80" si="59">SUM(C75:AA75)</f>
        <v>9779392</v>
      </c>
      <c r="AK75" s="39">
        <v>9777990</v>
      </c>
      <c r="AL75" s="39">
        <v>1402</v>
      </c>
      <c r="AM75" s="16">
        <f t="shared" ref="AM75:AM80" si="60">AN75+AO75</f>
        <v>296550</v>
      </c>
      <c r="AN75" s="16">
        <v>296550</v>
      </c>
      <c r="AO75" s="16"/>
      <c r="AP75" s="16">
        <v>0</v>
      </c>
      <c r="AQ75" s="17">
        <f t="shared" ref="AQ75:AQ80" si="61">C75</f>
        <v>9779392</v>
      </c>
    </row>
    <row r="76" spans="1:43" s="6" customFormat="1" x14ac:dyDescent="0.2">
      <c r="A76" s="11" t="s">
        <v>139</v>
      </c>
      <c r="B76" s="14" t="s">
        <v>17</v>
      </c>
      <c r="C76" s="15">
        <f t="shared" si="58"/>
        <v>3534878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7">
        <f t="shared" si="59"/>
        <v>3534878</v>
      </c>
      <c r="AK76" s="39">
        <v>3534562</v>
      </c>
      <c r="AL76" s="39">
        <v>316</v>
      </c>
      <c r="AM76" s="16">
        <f t="shared" si="60"/>
        <v>90934</v>
      </c>
      <c r="AN76" s="16">
        <v>90934</v>
      </c>
      <c r="AO76" s="16"/>
      <c r="AP76" s="16">
        <v>0</v>
      </c>
      <c r="AQ76" s="17">
        <f t="shared" si="61"/>
        <v>3534878</v>
      </c>
    </row>
    <row r="77" spans="1:43" s="6" customFormat="1" ht="25.5" x14ac:dyDescent="0.2">
      <c r="A77" s="11" t="s">
        <v>59</v>
      </c>
      <c r="B77" s="14" t="s">
        <v>18</v>
      </c>
      <c r="C77" s="15">
        <f t="shared" si="58"/>
        <v>2616683</v>
      </c>
      <c r="D77" s="16">
        <f>-90000+3400000</f>
        <v>3310000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7">
        <f t="shared" si="59"/>
        <v>5926683</v>
      </c>
      <c r="AK77" s="39">
        <f>874812+1688750+23121</f>
        <v>2586683</v>
      </c>
      <c r="AL77" s="39">
        <v>30000</v>
      </c>
      <c r="AM77" s="16">
        <f t="shared" si="60"/>
        <v>3193618</v>
      </c>
      <c r="AN77" s="16">
        <v>3193618</v>
      </c>
      <c r="AO77" s="16"/>
      <c r="AP77" s="16">
        <v>0</v>
      </c>
      <c r="AQ77" s="17">
        <f t="shared" si="61"/>
        <v>2616683</v>
      </c>
    </row>
    <row r="78" spans="1:43" s="6" customFormat="1" x14ac:dyDescent="0.2">
      <c r="A78" s="11" t="s">
        <v>60</v>
      </c>
      <c r="B78" s="14" t="s">
        <v>19</v>
      </c>
      <c r="C78" s="15">
        <f t="shared" si="58"/>
        <v>6507950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7">
        <f t="shared" si="59"/>
        <v>6507950</v>
      </c>
      <c r="AK78" s="46">
        <v>6507950</v>
      </c>
      <c r="AL78" s="39">
        <v>0</v>
      </c>
      <c r="AM78" s="16">
        <f t="shared" si="60"/>
        <v>550500</v>
      </c>
      <c r="AN78" s="16">
        <v>550500</v>
      </c>
      <c r="AO78" s="16"/>
      <c r="AP78" s="16">
        <v>0</v>
      </c>
      <c r="AQ78" s="17">
        <f t="shared" si="61"/>
        <v>6507950</v>
      </c>
    </row>
    <row r="79" spans="1:43" s="6" customFormat="1" x14ac:dyDescent="0.2">
      <c r="A79" s="11" t="s">
        <v>61</v>
      </c>
      <c r="B79" s="14" t="s">
        <v>20</v>
      </c>
      <c r="C79" s="15">
        <f t="shared" si="58"/>
        <v>661723</v>
      </c>
      <c r="D79" s="16">
        <v>90000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f>193248+288360</f>
        <v>481608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7">
        <f t="shared" si="59"/>
        <v>1233331</v>
      </c>
      <c r="AK79" s="39">
        <v>661723</v>
      </c>
      <c r="AL79" s="39">
        <v>0</v>
      </c>
      <c r="AM79" s="16">
        <f t="shared" si="60"/>
        <v>100000</v>
      </c>
      <c r="AN79" s="16">
        <v>100000</v>
      </c>
      <c r="AO79" s="16"/>
      <c r="AP79" s="16">
        <v>0</v>
      </c>
      <c r="AQ79" s="17">
        <f t="shared" si="61"/>
        <v>661723</v>
      </c>
    </row>
    <row r="80" spans="1:43" s="6" customFormat="1" x14ac:dyDescent="0.2">
      <c r="A80" s="11" t="s">
        <v>62</v>
      </c>
      <c r="B80" s="14" t="s">
        <v>21</v>
      </c>
      <c r="C80" s="15">
        <f t="shared" si="58"/>
        <v>4021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7">
        <f t="shared" si="59"/>
        <v>4021</v>
      </c>
      <c r="AK80" s="39">
        <v>4021</v>
      </c>
      <c r="AL80" s="39">
        <v>0</v>
      </c>
      <c r="AM80" s="16">
        <f t="shared" si="60"/>
        <v>1500</v>
      </c>
      <c r="AN80" s="16">
        <v>1500</v>
      </c>
      <c r="AO80" s="16"/>
      <c r="AP80" s="16">
        <v>0</v>
      </c>
      <c r="AQ80" s="17">
        <f t="shared" si="61"/>
        <v>4021</v>
      </c>
    </row>
    <row r="81" spans="1:43" s="6" customFormat="1" x14ac:dyDescent="0.2">
      <c r="A81" s="36" t="s">
        <v>81</v>
      </c>
      <c r="B81" s="32"/>
      <c r="C81" s="33">
        <f t="shared" ref="C81:AB81" si="62">SUM(C75:C80)</f>
        <v>23104647</v>
      </c>
      <c r="D81" s="34">
        <f t="shared" si="62"/>
        <v>3400000</v>
      </c>
      <c r="E81" s="34">
        <f t="shared" si="62"/>
        <v>0</v>
      </c>
      <c r="F81" s="34">
        <f t="shared" si="62"/>
        <v>0</v>
      </c>
      <c r="G81" s="34">
        <f t="shared" si="62"/>
        <v>0</v>
      </c>
      <c r="H81" s="34">
        <f t="shared" ref="H81" si="63">SUM(H75:H80)</f>
        <v>0</v>
      </c>
      <c r="I81" s="34">
        <f t="shared" si="62"/>
        <v>0</v>
      </c>
      <c r="J81" s="34">
        <f t="shared" si="62"/>
        <v>0</v>
      </c>
      <c r="K81" s="34">
        <f t="shared" si="62"/>
        <v>0</v>
      </c>
      <c r="L81" s="34">
        <f t="shared" si="62"/>
        <v>0</v>
      </c>
      <c r="M81" s="34">
        <f t="shared" si="62"/>
        <v>0</v>
      </c>
      <c r="N81" s="34">
        <f t="shared" si="62"/>
        <v>0</v>
      </c>
      <c r="O81" s="34">
        <f t="shared" si="62"/>
        <v>0</v>
      </c>
      <c r="P81" s="34">
        <f t="shared" si="62"/>
        <v>0</v>
      </c>
      <c r="Q81" s="34">
        <f t="shared" si="62"/>
        <v>481608</v>
      </c>
      <c r="R81" s="34">
        <f t="shared" si="62"/>
        <v>0</v>
      </c>
      <c r="S81" s="34">
        <f t="shared" si="62"/>
        <v>0</v>
      </c>
      <c r="T81" s="34">
        <f t="shared" si="62"/>
        <v>0</v>
      </c>
      <c r="U81" s="34">
        <f t="shared" si="62"/>
        <v>0</v>
      </c>
      <c r="V81" s="34">
        <f t="shared" si="62"/>
        <v>0</v>
      </c>
      <c r="W81" s="34">
        <f t="shared" si="62"/>
        <v>0</v>
      </c>
      <c r="X81" s="34">
        <f t="shared" si="62"/>
        <v>0</v>
      </c>
      <c r="Y81" s="34">
        <f t="shared" si="62"/>
        <v>0</v>
      </c>
      <c r="Z81" s="34">
        <f t="shared" si="62"/>
        <v>0</v>
      </c>
      <c r="AA81" s="34">
        <f t="shared" si="62"/>
        <v>0</v>
      </c>
      <c r="AB81" s="35">
        <f t="shared" si="62"/>
        <v>26986255</v>
      </c>
      <c r="AK81" s="33">
        <f t="shared" ref="AK81:AP81" si="64">SUM(AK75:AK80)</f>
        <v>23072929</v>
      </c>
      <c r="AL81" s="33">
        <f t="shared" si="64"/>
        <v>31718</v>
      </c>
      <c r="AM81" s="34">
        <f t="shared" si="64"/>
        <v>4233102</v>
      </c>
      <c r="AN81" s="34">
        <f t="shared" si="64"/>
        <v>4233102</v>
      </c>
      <c r="AO81" s="34">
        <f t="shared" si="64"/>
        <v>0</v>
      </c>
      <c r="AP81" s="34">
        <f t="shared" si="64"/>
        <v>0</v>
      </c>
      <c r="AQ81" s="35">
        <f t="shared" ref="AQ81" si="65">SUM(AQ75:AQ80)</f>
        <v>23104647</v>
      </c>
    </row>
    <row r="82" spans="1:43" s="6" customFormat="1" ht="1.9" customHeight="1" x14ac:dyDescent="0.2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17"/>
      <c r="AK82" s="42"/>
      <c r="AL82" s="42"/>
      <c r="AM82" s="22"/>
      <c r="AN82" s="22"/>
      <c r="AO82" s="22"/>
      <c r="AP82" s="22"/>
      <c r="AQ82" s="17"/>
    </row>
    <row r="83" spans="1:43" s="6" customFormat="1" x14ac:dyDescent="0.2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17"/>
      <c r="AK83" s="42"/>
      <c r="AL83" s="42"/>
      <c r="AM83" s="22"/>
      <c r="AN83" s="22"/>
      <c r="AO83" s="22"/>
      <c r="AP83" s="22"/>
      <c r="AQ83" s="17"/>
    </row>
    <row r="84" spans="1:43" s="6" customFormat="1" x14ac:dyDescent="0.2">
      <c r="A84" s="11" t="s">
        <v>58</v>
      </c>
      <c r="B84" s="14" t="s">
        <v>16</v>
      </c>
      <c r="C84" s="15">
        <f t="shared" ref="C84:C89" si="66">SUM(AK84)+(AL84)</f>
        <v>0</v>
      </c>
      <c r="D84" s="16">
        <v>0</v>
      </c>
      <c r="E84" s="16">
        <v>0</v>
      </c>
      <c r="F84" s="16">
        <v>125890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7">
        <f t="shared" ref="AB84:AB89" si="67">SUM(C84:AA84)</f>
        <v>125890</v>
      </c>
      <c r="AK84" s="39">
        <v>0</v>
      </c>
      <c r="AL84" s="39"/>
      <c r="AM84" s="16">
        <f t="shared" ref="AM84:AM89" si="68">AN84+AO84</f>
        <v>171560</v>
      </c>
      <c r="AN84" s="16">
        <v>171560</v>
      </c>
      <c r="AO84" s="16"/>
      <c r="AP84" s="16">
        <v>0</v>
      </c>
      <c r="AQ84" s="17">
        <f t="shared" ref="AQ84:AQ89" si="69">C84</f>
        <v>0</v>
      </c>
    </row>
    <row r="85" spans="1:43" s="6" customFormat="1" x14ac:dyDescent="0.2">
      <c r="A85" s="11" t="s">
        <v>139</v>
      </c>
      <c r="B85" s="14" t="s">
        <v>17</v>
      </c>
      <c r="C85" s="15">
        <f t="shared" si="66"/>
        <v>0</v>
      </c>
      <c r="D85" s="16">
        <v>0</v>
      </c>
      <c r="E85" s="16">
        <v>0</v>
      </c>
      <c r="F85" s="16">
        <v>49774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7">
        <f t="shared" si="67"/>
        <v>49774</v>
      </c>
      <c r="AK85" s="39">
        <v>0</v>
      </c>
      <c r="AL85" s="39"/>
      <c r="AM85" s="16">
        <f t="shared" si="68"/>
        <v>64278</v>
      </c>
      <c r="AN85" s="16">
        <v>64278</v>
      </c>
      <c r="AO85" s="16"/>
      <c r="AP85" s="16">
        <v>0</v>
      </c>
      <c r="AQ85" s="17">
        <f t="shared" si="69"/>
        <v>0</v>
      </c>
    </row>
    <row r="86" spans="1:43" s="6" customFormat="1" ht="25.5" x14ac:dyDescent="0.2">
      <c r="A86" s="11" t="s">
        <v>59</v>
      </c>
      <c r="B86" s="14" t="s">
        <v>18</v>
      </c>
      <c r="C86" s="15">
        <f t="shared" si="66"/>
        <v>3809936</v>
      </c>
      <c r="D86" s="16"/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7">
        <f t="shared" si="67"/>
        <v>3809936</v>
      </c>
      <c r="AK86" s="39">
        <f>115828+3694108</f>
        <v>3809936</v>
      </c>
      <c r="AL86" s="39"/>
      <c r="AM86" s="16">
        <f t="shared" si="68"/>
        <v>56800</v>
      </c>
      <c r="AN86" s="16">
        <v>56800</v>
      </c>
      <c r="AO86" s="16"/>
      <c r="AP86" s="16">
        <v>0</v>
      </c>
      <c r="AQ86" s="17">
        <f t="shared" si="69"/>
        <v>3809936</v>
      </c>
    </row>
    <row r="87" spans="1:43" s="6" customFormat="1" x14ac:dyDescent="0.2">
      <c r="A87" s="11" t="s">
        <v>60</v>
      </c>
      <c r="B87" s="14" t="s">
        <v>19</v>
      </c>
      <c r="C87" s="15">
        <f t="shared" si="66"/>
        <v>305590</v>
      </c>
      <c r="D87" s="16"/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7">
        <f t="shared" si="67"/>
        <v>305590</v>
      </c>
      <c r="AK87" s="39">
        <v>305590</v>
      </c>
      <c r="AL87" s="39"/>
      <c r="AM87" s="16">
        <f t="shared" si="68"/>
        <v>33800</v>
      </c>
      <c r="AN87" s="16">
        <v>33800</v>
      </c>
      <c r="AO87" s="16"/>
      <c r="AP87" s="16">
        <v>0</v>
      </c>
      <c r="AQ87" s="17">
        <f t="shared" si="69"/>
        <v>305590</v>
      </c>
    </row>
    <row r="88" spans="1:43" s="6" customFormat="1" x14ac:dyDescent="0.2">
      <c r="A88" s="11" t="s">
        <v>61</v>
      </c>
      <c r="B88" s="14" t="s">
        <v>20</v>
      </c>
      <c r="C88" s="15">
        <f t="shared" si="66"/>
        <v>0</v>
      </c>
      <c r="D88" s="16"/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7">
        <f t="shared" si="67"/>
        <v>0</v>
      </c>
      <c r="AK88" s="39">
        <v>0</v>
      </c>
      <c r="AL88" s="39"/>
      <c r="AM88" s="16">
        <f t="shared" si="68"/>
        <v>0</v>
      </c>
      <c r="AN88" s="16"/>
      <c r="AO88" s="16"/>
      <c r="AP88" s="16">
        <v>0</v>
      </c>
      <c r="AQ88" s="17">
        <f t="shared" si="69"/>
        <v>0</v>
      </c>
    </row>
    <row r="89" spans="1:43" s="6" customFormat="1" x14ac:dyDescent="0.2">
      <c r="A89" s="11" t="s">
        <v>62</v>
      </c>
      <c r="B89" s="14" t="s">
        <v>21</v>
      </c>
      <c r="C89" s="15">
        <f t="shared" si="66"/>
        <v>0</v>
      </c>
      <c r="D89" s="16"/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7">
        <f t="shared" si="67"/>
        <v>0</v>
      </c>
      <c r="AK89" s="39">
        <v>0</v>
      </c>
      <c r="AL89" s="39"/>
      <c r="AM89" s="16">
        <f t="shared" si="68"/>
        <v>3000</v>
      </c>
      <c r="AN89" s="16">
        <v>3000</v>
      </c>
      <c r="AO89" s="16"/>
      <c r="AP89" s="16">
        <v>0</v>
      </c>
      <c r="AQ89" s="17">
        <f t="shared" si="69"/>
        <v>0</v>
      </c>
    </row>
    <row r="90" spans="1:43" s="6" customFormat="1" x14ac:dyDescent="0.2">
      <c r="A90" s="36" t="s">
        <v>82</v>
      </c>
      <c r="B90" s="32"/>
      <c r="C90" s="33">
        <f t="shared" ref="C90:AB90" si="70">SUM(C84:C89)</f>
        <v>4115526</v>
      </c>
      <c r="D90" s="34">
        <f t="shared" si="70"/>
        <v>0</v>
      </c>
      <c r="E90" s="34">
        <f t="shared" si="70"/>
        <v>0</v>
      </c>
      <c r="F90" s="34">
        <f t="shared" si="70"/>
        <v>175664</v>
      </c>
      <c r="G90" s="34">
        <f t="shared" si="70"/>
        <v>0</v>
      </c>
      <c r="H90" s="34">
        <f t="shared" ref="H90" si="71">SUM(H84:H89)</f>
        <v>0</v>
      </c>
      <c r="I90" s="34">
        <f t="shared" si="70"/>
        <v>0</v>
      </c>
      <c r="J90" s="34">
        <f t="shared" si="70"/>
        <v>0</v>
      </c>
      <c r="K90" s="34">
        <f t="shared" si="70"/>
        <v>0</v>
      </c>
      <c r="L90" s="34">
        <f t="shared" si="70"/>
        <v>0</v>
      </c>
      <c r="M90" s="34">
        <f t="shared" si="70"/>
        <v>0</v>
      </c>
      <c r="N90" s="34">
        <f t="shared" si="70"/>
        <v>0</v>
      </c>
      <c r="O90" s="34">
        <f t="shared" si="70"/>
        <v>0</v>
      </c>
      <c r="P90" s="34">
        <f t="shared" si="70"/>
        <v>0</v>
      </c>
      <c r="Q90" s="34">
        <f t="shared" si="70"/>
        <v>0</v>
      </c>
      <c r="R90" s="34">
        <f t="shared" si="70"/>
        <v>0</v>
      </c>
      <c r="S90" s="34">
        <f t="shared" si="70"/>
        <v>0</v>
      </c>
      <c r="T90" s="34">
        <f t="shared" si="70"/>
        <v>0</v>
      </c>
      <c r="U90" s="34">
        <f t="shared" si="70"/>
        <v>0</v>
      </c>
      <c r="V90" s="34">
        <f t="shared" si="70"/>
        <v>0</v>
      </c>
      <c r="W90" s="34">
        <f t="shared" si="70"/>
        <v>0</v>
      </c>
      <c r="X90" s="34">
        <f t="shared" si="70"/>
        <v>0</v>
      </c>
      <c r="Y90" s="34">
        <f t="shared" si="70"/>
        <v>0</v>
      </c>
      <c r="Z90" s="34">
        <f t="shared" si="70"/>
        <v>0</v>
      </c>
      <c r="AA90" s="34">
        <f t="shared" si="70"/>
        <v>0</v>
      </c>
      <c r="AB90" s="35">
        <f t="shared" si="70"/>
        <v>4291190</v>
      </c>
      <c r="AK90" s="33">
        <f t="shared" ref="AK90:AP90" si="72">SUM(AK84:AK89)</f>
        <v>4115526</v>
      </c>
      <c r="AL90" s="33">
        <f t="shared" si="72"/>
        <v>0</v>
      </c>
      <c r="AM90" s="34">
        <f t="shared" si="72"/>
        <v>329438</v>
      </c>
      <c r="AN90" s="34">
        <f t="shared" si="72"/>
        <v>329438</v>
      </c>
      <c r="AO90" s="34">
        <f t="shared" si="72"/>
        <v>0</v>
      </c>
      <c r="AP90" s="34">
        <f t="shared" si="72"/>
        <v>0</v>
      </c>
      <c r="AQ90" s="35">
        <f t="shared" ref="AQ90" si="73">SUM(AQ84:AQ89)</f>
        <v>4115526</v>
      </c>
    </row>
    <row r="91" spans="1:43" s="6" customFormat="1" ht="1.9" customHeight="1" x14ac:dyDescent="0.2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17"/>
      <c r="AK91" s="42"/>
      <c r="AL91" s="42"/>
      <c r="AM91" s="22"/>
      <c r="AN91" s="22"/>
      <c r="AO91" s="22"/>
      <c r="AP91" s="22"/>
      <c r="AQ91" s="17"/>
    </row>
    <row r="92" spans="1:43" s="6" customFormat="1" ht="25.5" x14ac:dyDescent="0.2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17"/>
      <c r="AK92" s="42"/>
      <c r="AL92" s="42"/>
      <c r="AM92" s="22"/>
      <c r="AN92" s="22"/>
      <c r="AO92" s="22"/>
      <c r="AP92" s="22"/>
      <c r="AQ92" s="17"/>
    </row>
    <row r="93" spans="1:43" s="6" customFormat="1" x14ac:dyDescent="0.2">
      <c r="A93" s="11" t="s">
        <v>58</v>
      </c>
      <c r="B93" s="14" t="s">
        <v>16</v>
      </c>
      <c r="C93" s="15">
        <f t="shared" ref="C93:C98" si="74">SUM(AK93)+(AL93)</f>
        <v>2330053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7">
        <f t="shared" ref="AB93:AB98" si="75">SUM(C93:AA93)</f>
        <v>2330053</v>
      </c>
      <c r="AK93" s="39">
        <f>985400+1344653</f>
        <v>2330053</v>
      </c>
      <c r="AL93" s="39"/>
      <c r="AM93" s="16">
        <f t="shared" ref="AM93:AM98" si="76">AN93+AO93</f>
        <v>298810</v>
      </c>
      <c r="AN93" s="16">
        <v>298810</v>
      </c>
      <c r="AO93" s="16"/>
      <c r="AP93" s="16">
        <v>0</v>
      </c>
      <c r="AQ93" s="17">
        <f t="shared" ref="AQ93:AQ98" si="77">C93</f>
        <v>2330053</v>
      </c>
    </row>
    <row r="94" spans="1:43" s="6" customFormat="1" x14ac:dyDescent="0.2">
      <c r="A94" s="11" t="s">
        <v>139</v>
      </c>
      <c r="B94" s="14" t="s">
        <v>17</v>
      </c>
      <c r="C94" s="15">
        <f t="shared" si="74"/>
        <v>783263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7">
        <f t="shared" si="75"/>
        <v>783263</v>
      </c>
      <c r="AK94" s="39">
        <f>324160+459103</f>
        <v>783263</v>
      </c>
      <c r="AL94" s="39"/>
      <c r="AM94" s="16">
        <f t="shared" si="76"/>
        <v>92518</v>
      </c>
      <c r="AN94" s="16">
        <v>92518</v>
      </c>
      <c r="AO94" s="16"/>
      <c r="AP94" s="16">
        <v>0</v>
      </c>
      <c r="AQ94" s="17">
        <f t="shared" si="77"/>
        <v>783263</v>
      </c>
    </row>
    <row r="95" spans="1:43" s="6" customFormat="1" ht="25.5" x14ac:dyDescent="0.2">
      <c r="A95" s="11" t="s">
        <v>59</v>
      </c>
      <c r="B95" s="14" t="s">
        <v>18</v>
      </c>
      <c r="C95" s="15">
        <f t="shared" si="74"/>
        <v>3197078</v>
      </c>
      <c r="D95" s="16">
        <v>0</v>
      </c>
      <c r="E95" s="16">
        <v>0</v>
      </c>
      <c r="F95" s="16">
        <v>110413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f>276750+215854</f>
        <v>492604</v>
      </c>
      <c r="R95" s="16">
        <v>0</v>
      </c>
      <c r="S95" s="16">
        <v>0</v>
      </c>
      <c r="T95" s="16">
        <v>0</v>
      </c>
      <c r="U95" s="16">
        <v>1816000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7">
        <f t="shared" si="75"/>
        <v>5616095</v>
      </c>
      <c r="AK95" s="39">
        <f>105511+38401+102600+469666+1880900+600000</f>
        <v>3197078</v>
      </c>
      <c r="AL95" s="39"/>
      <c r="AM95" s="16">
        <f t="shared" si="76"/>
        <v>381380</v>
      </c>
      <c r="AN95" s="16">
        <v>381380</v>
      </c>
      <c r="AO95" s="16"/>
      <c r="AP95" s="16">
        <v>0</v>
      </c>
      <c r="AQ95" s="17">
        <f t="shared" si="77"/>
        <v>3197078</v>
      </c>
    </row>
    <row r="96" spans="1:43" s="6" customFormat="1" x14ac:dyDescent="0.2">
      <c r="A96" s="11" t="s">
        <v>60</v>
      </c>
      <c r="B96" s="14" t="s">
        <v>19</v>
      </c>
      <c r="C96" s="15">
        <f t="shared" si="74"/>
        <v>271141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40000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7">
        <f t="shared" si="75"/>
        <v>311141</v>
      </c>
      <c r="AK96" s="39">
        <f>34560+236581</f>
        <v>271141</v>
      </c>
      <c r="AL96" s="39"/>
      <c r="AM96" s="16">
        <f t="shared" si="76"/>
        <v>87315</v>
      </c>
      <c r="AN96" s="16">
        <v>87315</v>
      </c>
      <c r="AO96" s="16"/>
      <c r="AP96" s="16">
        <v>0</v>
      </c>
      <c r="AQ96" s="17">
        <f t="shared" si="77"/>
        <v>271141</v>
      </c>
    </row>
    <row r="97" spans="1:43" s="6" customFormat="1" x14ac:dyDescent="0.2">
      <c r="A97" s="11" t="s">
        <v>61</v>
      </c>
      <c r="B97" s="14" t="s">
        <v>20</v>
      </c>
      <c r="C97" s="15">
        <f t="shared" si="74"/>
        <v>456791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f>1000000+2000000</f>
        <v>3000000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7">
        <f t="shared" si="75"/>
        <v>3456791</v>
      </c>
      <c r="AK97" s="39">
        <f>6989+449802</f>
        <v>456791</v>
      </c>
      <c r="AL97" s="39"/>
      <c r="AM97" s="16">
        <f t="shared" si="76"/>
        <v>50000</v>
      </c>
      <c r="AN97" s="16">
        <v>50000</v>
      </c>
      <c r="AO97" s="16"/>
      <c r="AP97" s="16">
        <v>0</v>
      </c>
      <c r="AQ97" s="17">
        <f t="shared" si="77"/>
        <v>456791</v>
      </c>
    </row>
    <row r="98" spans="1:43" s="6" customFormat="1" x14ac:dyDescent="0.2">
      <c r="A98" s="11" t="s">
        <v>62</v>
      </c>
      <c r="B98" s="14" t="s">
        <v>21</v>
      </c>
      <c r="C98" s="15">
        <f t="shared" si="74"/>
        <v>20850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7">
        <f t="shared" si="75"/>
        <v>20850</v>
      </c>
      <c r="AK98" s="39">
        <f>14250+6600</f>
        <v>20850</v>
      </c>
      <c r="AL98" s="39"/>
      <c r="AM98" s="16">
        <f t="shared" si="76"/>
        <v>4750</v>
      </c>
      <c r="AN98" s="16">
        <v>4750</v>
      </c>
      <c r="AO98" s="16"/>
      <c r="AP98" s="16">
        <v>0</v>
      </c>
      <c r="AQ98" s="17">
        <f t="shared" si="77"/>
        <v>20850</v>
      </c>
    </row>
    <row r="99" spans="1:43" s="6" customFormat="1" x14ac:dyDescent="0.2">
      <c r="A99" s="36" t="s">
        <v>83</v>
      </c>
      <c r="B99" s="32"/>
      <c r="C99" s="33">
        <f t="shared" ref="C99:AB99" si="78">SUM(C93:C98)</f>
        <v>7059176</v>
      </c>
      <c r="D99" s="34">
        <f t="shared" si="78"/>
        <v>0</v>
      </c>
      <c r="E99" s="34">
        <f t="shared" si="78"/>
        <v>0</v>
      </c>
      <c r="F99" s="34">
        <f t="shared" si="78"/>
        <v>110413</v>
      </c>
      <c r="G99" s="34">
        <f t="shared" si="78"/>
        <v>0</v>
      </c>
      <c r="H99" s="34">
        <f t="shared" ref="H99" si="79">SUM(H93:H98)</f>
        <v>0</v>
      </c>
      <c r="I99" s="34">
        <f t="shared" si="78"/>
        <v>0</v>
      </c>
      <c r="J99" s="34">
        <f t="shared" si="78"/>
        <v>0</v>
      </c>
      <c r="K99" s="34">
        <f t="shared" si="78"/>
        <v>0</v>
      </c>
      <c r="L99" s="34">
        <f t="shared" si="78"/>
        <v>0</v>
      </c>
      <c r="M99" s="34">
        <f t="shared" si="78"/>
        <v>0</v>
      </c>
      <c r="N99" s="34">
        <f t="shared" si="78"/>
        <v>0</v>
      </c>
      <c r="O99" s="34">
        <f t="shared" si="78"/>
        <v>0</v>
      </c>
      <c r="P99" s="34">
        <f t="shared" si="78"/>
        <v>0</v>
      </c>
      <c r="Q99" s="34">
        <f t="shared" si="78"/>
        <v>3532604</v>
      </c>
      <c r="R99" s="34">
        <f t="shared" si="78"/>
        <v>0</v>
      </c>
      <c r="S99" s="34">
        <f t="shared" si="78"/>
        <v>0</v>
      </c>
      <c r="T99" s="34">
        <f t="shared" si="78"/>
        <v>0</v>
      </c>
      <c r="U99" s="34">
        <f t="shared" si="78"/>
        <v>1816000</v>
      </c>
      <c r="V99" s="34">
        <f t="shared" si="78"/>
        <v>0</v>
      </c>
      <c r="W99" s="34">
        <f t="shared" si="78"/>
        <v>0</v>
      </c>
      <c r="X99" s="34">
        <f t="shared" si="78"/>
        <v>0</v>
      </c>
      <c r="Y99" s="34">
        <f t="shared" si="78"/>
        <v>0</v>
      </c>
      <c r="Z99" s="34">
        <f t="shared" si="78"/>
        <v>0</v>
      </c>
      <c r="AA99" s="34">
        <f t="shared" si="78"/>
        <v>0</v>
      </c>
      <c r="AB99" s="35">
        <f t="shared" si="78"/>
        <v>12518193</v>
      </c>
      <c r="AK99" s="33">
        <f t="shared" ref="AK99:AP99" si="80">SUM(AK93:AK98)</f>
        <v>7059176</v>
      </c>
      <c r="AL99" s="33">
        <f t="shared" si="80"/>
        <v>0</v>
      </c>
      <c r="AM99" s="34">
        <f t="shared" si="80"/>
        <v>914773</v>
      </c>
      <c r="AN99" s="34">
        <f t="shared" si="80"/>
        <v>914773</v>
      </c>
      <c r="AO99" s="34">
        <f t="shared" si="80"/>
        <v>0</v>
      </c>
      <c r="AP99" s="34">
        <f t="shared" si="80"/>
        <v>0</v>
      </c>
      <c r="AQ99" s="35">
        <f t="shared" ref="AQ99" si="81">SUM(AQ93:AQ98)</f>
        <v>7059176</v>
      </c>
    </row>
    <row r="100" spans="1:43" s="6" customFormat="1" ht="1.9" customHeight="1" x14ac:dyDescent="0.2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17"/>
      <c r="AK100" s="42"/>
      <c r="AL100" s="42"/>
      <c r="AM100" s="22"/>
      <c r="AN100" s="22"/>
      <c r="AO100" s="22"/>
      <c r="AP100" s="22"/>
      <c r="AQ100" s="17"/>
    </row>
    <row r="101" spans="1:43" s="6" customFormat="1" x14ac:dyDescent="0.2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17"/>
      <c r="AK101" s="42"/>
      <c r="AL101" s="42"/>
      <c r="AM101" s="22"/>
      <c r="AN101" s="22"/>
      <c r="AO101" s="22"/>
      <c r="AP101" s="22"/>
      <c r="AQ101" s="17"/>
    </row>
    <row r="102" spans="1:43" s="6" customFormat="1" x14ac:dyDescent="0.2">
      <c r="A102" s="11" t="s">
        <v>58</v>
      </c>
      <c r="B102" s="14" t="s">
        <v>16</v>
      </c>
      <c r="C102" s="15">
        <f t="shared" ref="C102:C107" si="82">SUM(AK102)+(AL102)</f>
        <v>1275882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7">
        <f t="shared" ref="AB102:AB107" si="83">SUM(C102:AA102)</f>
        <v>1275882</v>
      </c>
      <c r="AK102" s="39">
        <v>1275882</v>
      </c>
      <c r="AL102" s="39"/>
      <c r="AM102" s="16">
        <f t="shared" ref="AM102:AM107" si="84">AN102+AO102</f>
        <v>0</v>
      </c>
      <c r="AN102" s="16">
        <v>0</v>
      </c>
      <c r="AO102" s="16"/>
      <c r="AP102" s="16">
        <v>0</v>
      </c>
      <c r="AQ102" s="17">
        <f t="shared" ref="AQ102:AQ107" si="85">SUM(D102:AB102)</f>
        <v>1275882</v>
      </c>
    </row>
    <row r="103" spans="1:43" s="6" customFormat="1" x14ac:dyDescent="0.2">
      <c r="A103" s="11" t="s">
        <v>139</v>
      </c>
      <c r="B103" s="14" t="s">
        <v>17</v>
      </c>
      <c r="C103" s="15">
        <f t="shared" si="82"/>
        <v>1185170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7">
        <f t="shared" si="83"/>
        <v>1185170</v>
      </c>
      <c r="AK103" s="39">
        <v>1185170</v>
      </c>
      <c r="AL103" s="39"/>
      <c r="AM103" s="16">
        <f t="shared" si="84"/>
        <v>0</v>
      </c>
      <c r="AN103" s="16">
        <v>0</v>
      </c>
      <c r="AO103" s="16"/>
      <c r="AP103" s="16">
        <v>0</v>
      </c>
      <c r="AQ103" s="17">
        <f t="shared" si="85"/>
        <v>1185170</v>
      </c>
    </row>
    <row r="104" spans="1:43" s="6" customFormat="1" ht="25.5" x14ac:dyDescent="0.2">
      <c r="A104" s="11" t="s">
        <v>59</v>
      </c>
      <c r="B104" s="14" t="s">
        <v>18</v>
      </c>
      <c r="C104" s="15">
        <f t="shared" si="82"/>
        <v>57607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7">
        <f t="shared" si="83"/>
        <v>57607</v>
      </c>
      <c r="AK104" s="39">
        <f>26800+24807+6000</f>
        <v>57607</v>
      </c>
      <c r="AL104" s="39"/>
      <c r="AM104" s="16">
        <f t="shared" si="84"/>
        <v>0</v>
      </c>
      <c r="AN104" s="16">
        <v>0</v>
      </c>
      <c r="AO104" s="16"/>
      <c r="AP104" s="16">
        <v>0</v>
      </c>
      <c r="AQ104" s="17">
        <f t="shared" si="85"/>
        <v>57607</v>
      </c>
    </row>
    <row r="105" spans="1:43" s="6" customFormat="1" x14ac:dyDescent="0.2">
      <c r="A105" s="11" t="s">
        <v>60</v>
      </c>
      <c r="B105" s="14" t="s">
        <v>19</v>
      </c>
      <c r="C105" s="15">
        <f t="shared" si="82"/>
        <v>31137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7">
        <f t="shared" si="83"/>
        <v>31137</v>
      </c>
      <c r="AK105" s="39">
        <f>18705+12432</f>
        <v>31137</v>
      </c>
      <c r="AL105" s="39"/>
      <c r="AM105" s="16">
        <f t="shared" si="84"/>
        <v>0</v>
      </c>
      <c r="AN105" s="16">
        <v>0</v>
      </c>
      <c r="AO105" s="16"/>
      <c r="AP105" s="16">
        <v>0</v>
      </c>
      <c r="AQ105" s="17">
        <f t="shared" si="85"/>
        <v>31137</v>
      </c>
    </row>
    <row r="106" spans="1:43" s="6" customFormat="1" x14ac:dyDescent="0.2">
      <c r="A106" s="11" t="s">
        <v>61</v>
      </c>
      <c r="B106" s="14" t="s">
        <v>20</v>
      </c>
      <c r="C106" s="15">
        <f t="shared" si="82"/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7">
        <f t="shared" si="83"/>
        <v>0</v>
      </c>
      <c r="AK106" s="39">
        <v>0</v>
      </c>
      <c r="AL106" s="39"/>
      <c r="AM106" s="16">
        <f t="shared" si="84"/>
        <v>0</v>
      </c>
      <c r="AN106" s="16">
        <v>0</v>
      </c>
      <c r="AO106" s="16"/>
      <c r="AP106" s="16">
        <v>0</v>
      </c>
      <c r="AQ106" s="17">
        <f t="shared" si="85"/>
        <v>0</v>
      </c>
    </row>
    <row r="107" spans="1:43" s="6" customFormat="1" x14ac:dyDescent="0.2">
      <c r="A107" s="11" t="s">
        <v>62</v>
      </c>
      <c r="B107" s="14" t="s">
        <v>21</v>
      </c>
      <c r="C107" s="15">
        <f t="shared" si="82"/>
        <v>67685</v>
      </c>
      <c r="D107" s="16">
        <v>0</v>
      </c>
      <c r="E107" s="16">
        <v>0</v>
      </c>
      <c r="F107" s="16">
        <v>845625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7">
        <f t="shared" si="83"/>
        <v>913310</v>
      </c>
      <c r="AK107" s="39">
        <v>67685</v>
      </c>
      <c r="AL107" s="39"/>
      <c r="AM107" s="16">
        <f t="shared" si="84"/>
        <v>0</v>
      </c>
      <c r="AN107" s="16">
        <v>0</v>
      </c>
      <c r="AO107" s="16"/>
      <c r="AP107" s="16">
        <v>0</v>
      </c>
      <c r="AQ107" s="17">
        <f t="shared" si="85"/>
        <v>1758935</v>
      </c>
    </row>
    <row r="108" spans="1:43" s="6" customFormat="1" x14ac:dyDescent="0.2">
      <c r="A108" s="36" t="s">
        <v>84</v>
      </c>
      <c r="B108" s="32"/>
      <c r="C108" s="33">
        <f t="shared" ref="C108:AB108" si="86">SUM(C102:C107)</f>
        <v>2617481</v>
      </c>
      <c r="D108" s="34">
        <f t="shared" si="86"/>
        <v>0</v>
      </c>
      <c r="E108" s="34">
        <f t="shared" si="86"/>
        <v>0</v>
      </c>
      <c r="F108" s="34">
        <f t="shared" si="86"/>
        <v>845625</v>
      </c>
      <c r="G108" s="34">
        <f t="shared" si="86"/>
        <v>0</v>
      </c>
      <c r="H108" s="34">
        <f t="shared" ref="H108" si="87">SUM(H102:H107)</f>
        <v>0</v>
      </c>
      <c r="I108" s="34">
        <f t="shared" si="86"/>
        <v>0</v>
      </c>
      <c r="J108" s="34">
        <f t="shared" si="86"/>
        <v>0</v>
      </c>
      <c r="K108" s="34">
        <f t="shared" si="86"/>
        <v>0</v>
      </c>
      <c r="L108" s="34">
        <f t="shared" si="86"/>
        <v>0</v>
      </c>
      <c r="M108" s="34">
        <f t="shared" si="86"/>
        <v>0</v>
      </c>
      <c r="N108" s="34">
        <f t="shared" si="86"/>
        <v>0</v>
      </c>
      <c r="O108" s="34">
        <f t="shared" si="86"/>
        <v>0</v>
      </c>
      <c r="P108" s="34">
        <f t="shared" si="86"/>
        <v>0</v>
      </c>
      <c r="Q108" s="34">
        <f t="shared" si="86"/>
        <v>0</v>
      </c>
      <c r="R108" s="34">
        <f t="shared" si="86"/>
        <v>0</v>
      </c>
      <c r="S108" s="34">
        <f t="shared" si="86"/>
        <v>0</v>
      </c>
      <c r="T108" s="34">
        <f t="shared" si="86"/>
        <v>0</v>
      </c>
      <c r="U108" s="34">
        <f t="shared" si="86"/>
        <v>0</v>
      </c>
      <c r="V108" s="34">
        <f t="shared" si="86"/>
        <v>0</v>
      </c>
      <c r="W108" s="34">
        <f t="shared" si="86"/>
        <v>0</v>
      </c>
      <c r="X108" s="34">
        <f t="shared" si="86"/>
        <v>0</v>
      </c>
      <c r="Y108" s="34">
        <f t="shared" si="86"/>
        <v>0</v>
      </c>
      <c r="Z108" s="34">
        <f t="shared" si="86"/>
        <v>0</v>
      </c>
      <c r="AA108" s="34">
        <f t="shared" si="86"/>
        <v>0</v>
      </c>
      <c r="AB108" s="35">
        <f t="shared" si="86"/>
        <v>3463106</v>
      </c>
      <c r="AK108" s="33">
        <f t="shared" ref="AK108:AP108" si="88">SUM(AK102:AK107)</f>
        <v>2617481</v>
      </c>
      <c r="AL108" s="33">
        <f t="shared" si="88"/>
        <v>0</v>
      </c>
      <c r="AM108" s="34">
        <f t="shared" si="88"/>
        <v>0</v>
      </c>
      <c r="AN108" s="34">
        <f t="shared" si="88"/>
        <v>0</v>
      </c>
      <c r="AO108" s="34">
        <f t="shared" si="88"/>
        <v>0</v>
      </c>
      <c r="AP108" s="34">
        <f t="shared" si="88"/>
        <v>0</v>
      </c>
      <c r="AQ108" s="35">
        <f t="shared" ref="AQ108" si="89">SUM(AQ102:AQ107)</f>
        <v>4308731</v>
      </c>
    </row>
    <row r="109" spans="1:43" s="6" customFormat="1" ht="1.9" customHeight="1" x14ac:dyDescent="0.2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17"/>
      <c r="AK109" s="42"/>
      <c r="AL109" s="42"/>
      <c r="AM109" s="22"/>
      <c r="AN109" s="22"/>
      <c r="AO109" s="22"/>
      <c r="AP109" s="22"/>
      <c r="AQ109" s="17"/>
    </row>
    <row r="110" spans="1:43" s="6" customFormat="1" x14ac:dyDescent="0.2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17"/>
      <c r="AK110" s="42"/>
      <c r="AL110" s="42"/>
      <c r="AM110" s="22"/>
      <c r="AN110" s="22"/>
      <c r="AO110" s="22"/>
      <c r="AP110" s="22"/>
      <c r="AQ110" s="17"/>
    </row>
    <row r="111" spans="1:43" s="6" customFormat="1" x14ac:dyDescent="0.2">
      <c r="A111" s="11" t="s">
        <v>58</v>
      </c>
      <c r="B111" s="14" t="s">
        <v>16</v>
      </c>
      <c r="C111" s="15">
        <f t="shared" ref="C111:C116" si="90">+AK111+AL111</f>
        <v>0</v>
      </c>
      <c r="D111" s="16">
        <v>0</v>
      </c>
      <c r="E111" s="16">
        <v>290518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7">
        <f t="shared" ref="AB111:AB116" si="91">SUM(C111:AA111)</f>
        <v>290518</v>
      </c>
      <c r="AK111" s="39"/>
      <c r="AL111" s="39"/>
      <c r="AM111" s="16">
        <f t="shared" ref="AM111:AM116" si="92">AN111+AO111</f>
        <v>0</v>
      </c>
      <c r="AN111" s="16">
        <v>0</v>
      </c>
      <c r="AO111" s="16"/>
      <c r="AP111" s="16">
        <v>0</v>
      </c>
      <c r="AQ111" s="17">
        <f t="shared" ref="AQ111:AQ116" si="93">C111</f>
        <v>0</v>
      </c>
    </row>
    <row r="112" spans="1:43" s="6" customFormat="1" x14ac:dyDescent="0.2">
      <c r="A112" s="11" t="s">
        <v>139</v>
      </c>
      <c r="B112" s="14" t="s">
        <v>17</v>
      </c>
      <c r="C112" s="15">
        <f t="shared" si="90"/>
        <v>0</v>
      </c>
      <c r="D112" s="16">
        <v>0</v>
      </c>
      <c r="E112" s="16">
        <v>97454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7">
        <f t="shared" si="91"/>
        <v>97454</v>
      </c>
      <c r="AK112" s="39"/>
      <c r="AL112" s="39"/>
      <c r="AM112" s="16">
        <f t="shared" si="92"/>
        <v>0</v>
      </c>
      <c r="AN112" s="16">
        <v>0</v>
      </c>
      <c r="AO112" s="16"/>
      <c r="AP112" s="16">
        <v>0</v>
      </c>
      <c r="AQ112" s="17">
        <f t="shared" si="93"/>
        <v>0</v>
      </c>
    </row>
    <row r="113" spans="1:43" s="6" customFormat="1" ht="25.5" x14ac:dyDescent="0.2">
      <c r="A113" s="11" t="s">
        <v>59</v>
      </c>
      <c r="B113" s="14" t="s">
        <v>18</v>
      </c>
      <c r="C113" s="15">
        <f t="shared" si="90"/>
        <v>0</v>
      </c>
      <c r="D113" s="16">
        <v>0</v>
      </c>
      <c r="E113" s="16">
        <f>10036260+198542+11448</f>
        <v>10246250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7">
        <f t="shared" si="91"/>
        <v>10246250</v>
      </c>
      <c r="AK113" s="39"/>
      <c r="AL113" s="39"/>
      <c r="AM113" s="16">
        <f t="shared" si="92"/>
        <v>0</v>
      </c>
      <c r="AN113" s="16">
        <v>0</v>
      </c>
      <c r="AO113" s="16"/>
      <c r="AP113" s="16">
        <v>0</v>
      </c>
      <c r="AQ113" s="17">
        <f t="shared" si="93"/>
        <v>0</v>
      </c>
    </row>
    <row r="114" spans="1:43" s="6" customFormat="1" x14ac:dyDescent="0.2">
      <c r="A114" s="11" t="s">
        <v>60</v>
      </c>
      <c r="B114" s="14" t="s">
        <v>19</v>
      </c>
      <c r="C114" s="15">
        <f t="shared" si="90"/>
        <v>0</v>
      </c>
      <c r="D114" s="16">
        <v>0</v>
      </c>
      <c r="E114" s="16">
        <f>71404+589662+131613+229385+15260</f>
        <v>1037324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7">
        <f t="shared" si="91"/>
        <v>1037324</v>
      </c>
      <c r="AK114" s="39"/>
      <c r="AL114" s="39"/>
      <c r="AM114" s="16">
        <f t="shared" si="92"/>
        <v>0</v>
      </c>
      <c r="AN114" s="16">
        <v>0</v>
      </c>
      <c r="AO114" s="16"/>
      <c r="AP114" s="16">
        <v>0</v>
      </c>
      <c r="AQ114" s="17">
        <f t="shared" si="93"/>
        <v>0</v>
      </c>
    </row>
    <row r="115" spans="1:43" s="6" customFormat="1" x14ac:dyDescent="0.2">
      <c r="A115" s="11" t="s">
        <v>61</v>
      </c>
      <c r="B115" s="14" t="s">
        <v>20</v>
      </c>
      <c r="C115" s="15">
        <f t="shared" si="90"/>
        <v>0</v>
      </c>
      <c r="D115" s="16">
        <v>0</v>
      </c>
      <c r="E115" s="16">
        <f>1113075+85000</f>
        <v>1198075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7">
        <f t="shared" si="91"/>
        <v>1198075</v>
      </c>
      <c r="AK115" s="39"/>
      <c r="AL115" s="39"/>
      <c r="AM115" s="16">
        <f t="shared" si="92"/>
        <v>0</v>
      </c>
      <c r="AN115" s="16">
        <v>0</v>
      </c>
      <c r="AO115" s="16"/>
      <c r="AP115" s="16">
        <v>0</v>
      </c>
      <c r="AQ115" s="17">
        <f t="shared" si="93"/>
        <v>0</v>
      </c>
    </row>
    <row r="116" spans="1:43" s="6" customFormat="1" x14ac:dyDescent="0.2">
      <c r="A116" s="11" t="s">
        <v>62</v>
      </c>
      <c r="B116" s="14" t="s">
        <v>21</v>
      </c>
      <c r="C116" s="15">
        <f t="shared" si="90"/>
        <v>0</v>
      </c>
      <c r="D116" s="16">
        <v>0</v>
      </c>
      <c r="E116" s="16">
        <f>9300+65880</f>
        <v>75180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7">
        <f t="shared" si="91"/>
        <v>75180</v>
      </c>
      <c r="AK116" s="39"/>
      <c r="AL116" s="39"/>
      <c r="AM116" s="16">
        <f t="shared" si="92"/>
        <v>0</v>
      </c>
      <c r="AN116" s="16">
        <v>0</v>
      </c>
      <c r="AO116" s="16"/>
      <c r="AP116" s="16">
        <v>0</v>
      </c>
      <c r="AQ116" s="17">
        <f t="shared" si="93"/>
        <v>0</v>
      </c>
    </row>
    <row r="117" spans="1:43" s="6" customFormat="1" x14ac:dyDescent="0.2">
      <c r="A117" s="36" t="s">
        <v>84</v>
      </c>
      <c r="B117" s="32"/>
      <c r="C117" s="33">
        <f t="shared" ref="C117:AB117" si="94">SUM(C111:C116)</f>
        <v>0</v>
      </c>
      <c r="D117" s="34">
        <f t="shared" si="94"/>
        <v>0</v>
      </c>
      <c r="E117" s="34">
        <f t="shared" si="94"/>
        <v>12944801</v>
      </c>
      <c r="F117" s="34">
        <f t="shared" si="94"/>
        <v>0</v>
      </c>
      <c r="G117" s="34">
        <f t="shared" si="94"/>
        <v>0</v>
      </c>
      <c r="H117" s="34">
        <f t="shared" ref="H117" si="95">SUM(H111:H116)</f>
        <v>0</v>
      </c>
      <c r="I117" s="34">
        <f t="shared" si="94"/>
        <v>0</v>
      </c>
      <c r="J117" s="34">
        <f t="shared" si="94"/>
        <v>0</v>
      </c>
      <c r="K117" s="34">
        <f t="shared" si="94"/>
        <v>0</v>
      </c>
      <c r="L117" s="34">
        <f t="shared" si="94"/>
        <v>0</v>
      </c>
      <c r="M117" s="34">
        <f t="shared" si="94"/>
        <v>0</v>
      </c>
      <c r="N117" s="34">
        <f t="shared" si="94"/>
        <v>0</v>
      </c>
      <c r="O117" s="34">
        <f t="shared" si="94"/>
        <v>0</v>
      </c>
      <c r="P117" s="34">
        <f t="shared" si="94"/>
        <v>0</v>
      </c>
      <c r="Q117" s="34">
        <f t="shared" si="94"/>
        <v>0</v>
      </c>
      <c r="R117" s="34">
        <f t="shared" si="94"/>
        <v>0</v>
      </c>
      <c r="S117" s="34">
        <f t="shared" si="94"/>
        <v>0</v>
      </c>
      <c r="T117" s="34">
        <f t="shared" si="94"/>
        <v>0</v>
      </c>
      <c r="U117" s="34">
        <f t="shared" si="94"/>
        <v>0</v>
      </c>
      <c r="V117" s="34">
        <f t="shared" si="94"/>
        <v>0</v>
      </c>
      <c r="W117" s="34">
        <f t="shared" si="94"/>
        <v>0</v>
      </c>
      <c r="X117" s="34">
        <f t="shared" si="94"/>
        <v>0</v>
      </c>
      <c r="Y117" s="34">
        <f t="shared" si="94"/>
        <v>0</v>
      </c>
      <c r="Z117" s="34">
        <f t="shared" si="94"/>
        <v>0</v>
      </c>
      <c r="AA117" s="34">
        <f t="shared" si="94"/>
        <v>0</v>
      </c>
      <c r="AB117" s="35">
        <f t="shared" si="94"/>
        <v>12944801</v>
      </c>
      <c r="AK117" s="41"/>
      <c r="AL117" s="41"/>
      <c r="AM117" s="34">
        <f>SUM(AM111:AM116)</f>
        <v>0</v>
      </c>
      <c r="AN117" s="34">
        <f>SUM(AN111:AN116)</f>
        <v>0</v>
      </c>
      <c r="AO117" s="34">
        <f>SUM(AO111:AO116)</f>
        <v>0</v>
      </c>
      <c r="AP117" s="34">
        <f>SUM(AP111:AP116)</f>
        <v>0</v>
      </c>
      <c r="AQ117" s="35">
        <f t="shared" ref="AQ117" si="96">SUM(AQ111:AQ116)</f>
        <v>0</v>
      </c>
    </row>
    <row r="118" spans="1:43" s="6" customFormat="1" x14ac:dyDescent="0.2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17"/>
      <c r="AK118" s="42"/>
      <c r="AL118" s="42"/>
      <c r="AM118" s="22"/>
      <c r="AN118" s="22"/>
      <c r="AO118" s="22"/>
      <c r="AP118" s="22"/>
      <c r="AQ118" s="17"/>
    </row>
    <row r="119" spans="1:43" s="6" customFormat="1" x14ac:dyDescent="0.2">
      <c r="A119" s="11" t="s">
        <v>58</v>
      </c>
      <c r="B119" s="14" t="s">
        <v>16</v>
      </c>
      <c r="C119" s="15">
        <f t="shared" ref="C119:C124" si="97">+AK119+AL119</f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7">
        <f t="shared" ref="AB119:AB124" si="98">SUM(C119:AA119)</f>
        <v>0</v>
      </c>
      <c r="AK119" s="39"/>
      <c r="AL119" s="39"/>
      <c r="AM119" s="16">
        <f t="shared" ref="AM119:AM124" si="99">AN119+AO119</f>
        <v>0</v>
      </c>
      <c r="AN119" s="16">
        <v>0</v>
      </c>
      <c r="AO119" s="16"/>
      <c r="AP119" s="16">
        <v>0</v>
      </c>
      <c r="AQ119" s="17">
        <f t="shared" ref="AQ119:AQ124" si="100">SUM(D119:AB119)</f>
        <v>0</v>
      </c>
    </row>
    <row r="120" spans="1:43" s="6" customFormat="1" x14ac:dyDescent="0.2">
      <c r="A120" s="11" t="s">
        <v>139</v>
      </c>
      <c r="B120" s="14" t="s">
        <v>17</v>
      </c>
      <c r="C120" s="15">
        <f t="shared" si="97"/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7">
        <f t="shared" si="98"/>
        <v>0</v>
      </c>
      <c r="AK120" s="39"/>
      <c r="AL120" s="39"/>
      <c r="AM120" s="16">
        <f t="shared" si="99"/>
        <v>0</v>
      </c>
      <c r="AN120" s="16">
        <v>0</v>
      </c>
      <c r="AO120" s="16"/>
      <c r="AP120" s="16">
        <v>0</v>
      </c>
      <c r="AQ120" s="17">
        <f t="shared" si="100"/>
        <v>0</v>
      </c>
    </row>
    <row r="121" spans="1:43" s="6" customFormat="1" ht="25.5" x14ac:dyDescent="0.2">
      <c r="A121" s="11" t="s">
        <v>59</v>
      </c>
      <c r="B121" s="14" t="s">
        <v>18</v>
      </c>
      <c r="C121" s="15">
        <f t="shared" si="97"/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7">
        <f t="shared" si="98"/>
        <v>0</v>
      </c>
      <c r="AK121" s="39"/>
      <c r="AL121" s="39"/>
      <c r="AM121" s="16">
        <f t="shared" si="99"/>
        <v>0</v>
      </c>
      <c r="AN121" s="16">
        <v>0</v>
      </c>
      <c r="AO121" s="16"/>
      <c r="AP121" s="16">
        <v>0</v>
      </c>
      <c r="AQ121" s="17">
        <f t="shared" si="100"/>
        <v>0</v>
      </c>
    </row>
    <row r="122" spans="1:43" s="6" customFormat="1" x14ac:dyDescent="0.2">
      <c r="A122" s="11" t="s">
        <v>60</v>
      </c>
      <c r="B122" s="14" t="s">
        <v>19</v>
      </c>
      <c r="C122" s="15">
        <f t="shared" si="97"/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7">
        <f t="shared" si="98"/>
        <v>0</v>
      </c>
      <c r="AK122" s="39"/>
      <c r="AL122" s="39"/>
      <c r="AM122" s="16">
        <f t="shared" si="99"/>
        <v>0</v>
      </c>
      <c r="AN122" s="16">
        <v>0</v>
      </c>
      <c r="AO122" s="16"/>
      <c r="AP122" s="16">
        <v>0</v>
      </c>
      <c r="AQ122" s="17">
        <f t="shared" si="100"/>
        <v>0</v>
      </c>
    </row>
    <row r="123" spans="1:43" s="6" customFormat="1" x14ac:dyDescent="0.2">
      <c r="A123" s="11" t="s">
        <v>61</v>
      </c>
      <c r="B123" s="14" t="s">
        <v>20</v>
      </c>
      <c r="C123" s="15">
        <f t="shared" si="97"/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7">
        <f t="shared" si="98"/>
        <v>0</v>
      </c>
      <c r="AK123" s="39"/>
      <c r="AL123" s="39"/>
      <c r="AM123" s="16">
        <f t="shared" si="99"/>
        <v>0</v>
      </c>
      <c r="AN123" s="16">
        <v>0</v>
      </c>
      <c r="AO123" s="16"/>
      <c r="AP123" s="16">
        <v>0</v>
      </c>
      <c r="AQ123" s="17">
        <f t="shared" si="100"/>
        <v>0</v>
      </c>
    </row>
    <row r="124" spans="1:43" s="6" customFormat="1" x14ac:dyDescent="0.2">
      <c r="A124" s="11" t="s">
        <v>62</v>
      </c>
      <c r="B124" s="14" t="s">
        <v>21</v>
      </c>
      <c r="C124" s="15">
        <f t="shared" si="97"/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7">
        <f t="shared" si="98"/>
        <v>0</v>
      </c>
      <c r="AK124" s="39"/>
      <c r="AL124" s="39"/>
      <c r="AM124" s="16">
        <f t="shared" si="99"/>
        <v>0</v>
      </c>
      <c r="AN124" s="16">
        <v>0</v>
      </c>
      <c r="AO124" s="16"/>
      <c r="AP124" s="16">
        <v>0</v>
      </c>
      <c r="AQ124" s="17">
        <f t="shared" si="100"/>
        <v>0</v>
      </c>
    </row>
    <row r="125" spans="1:43" s="6" customFormat="1" x14ac:dyDescent="0.2">
      <c r="A125" s="36" t="s">
        <v>85</v>
      </c>
      <c r="B125" s="32"/>
      <c r="C125" s="33">
        <f t="shared" ref="C125:AB125" si="101">SUM(C119:C124)</f>
        <v>0</v>
      </c>
      <c r="D125" s="34">
        <f t="shared" si="101"/>
        <v>0</v>
      </c>
      <c r="E125" s="34">
        <f t="shared" si="101"/>
        <v>0</v>
      </c>
      <c r="F125" s="34">
        <f t="shared" si="101"/>
        <v>0</v>
      </c>
      <c r="G125" s="34">
        <f t="shared" si="101"/>
        <v>0</v>
      </c>
      <c r="H125" s="34">
        <f t="shared" ref="H125" si="102">SUM(H119:H124)</f>
        <v>0</v>
      </c>
      <c r="I125" s="34">
        <f t="shared" si="101"/>
        <v>0</v>
      </c>
      <c r="J125" s="34">
        <f t="shared" si="101"/>
        <v>0</v>
      </c>
      <c r="K125" s="34">
        <f t="shared" si="101"/>
        <v>0</v>
      </c>
      <c r="L125" s="34">
        <f t="shared" si="101"/>
        <v>0</v>
      </c>
      <c r="M125" s="34">
        <f t="shared" si="101"/>
        <v>0</v>
      </c>
      <c r="N125" s="34">
        <f t="shared" si="101"/>
        <v>0</v>
      </c>
      <c r="O125" s="34">
        <f t="shared" si="101"/>
        <v>0</v>
      </c>
      <c r="P125" s="34">
        <f t="shared" si="101"/>
        <v>0</v>
      </c>
      <c r="Q125" s="34">
        <f t="shared" si="101"/>
        <v>0</v>
      </c>
      <c r="R125" s="34">
        <f t="shared" si="101"/>
        <v>0</v>
      </c>
      <c r="S125" s="34">
        <f t="shared" si="101"/>
        <v>0</v>
      </c>
      <c r="T125" s="34">
        <f t="shared" si="101"/>
        <v>0</v>
      </c>
      <c r="U125" s="34">
        <f t="shared" si="101"/>
        <v>0</v>
      </c>
      <c r="V125" s="34">
        <f t="shared" si="101"/>
        <v>0</v>
      </c>
      <c r="W125" s="34">
        <f t="shared" si="101"/>
        <v>0</v>
      </c>
      <c r="X125" s="34">
        <f t="shared" si="101"/>
        <v>0</v>
      </c>
      <c r="Y125" s="34">
        <f t="shared" si="101"/>
        <v>0</v>
      </c>
      <c r="Z125" s="34">
        <f t="shared" si="101"/>
        <v>0</v>
      </c>
      <c r="AA125" s="34">
        <f t="shared" si="101"/>
        <v>0</v>
      </c>
      <c r="AB125" s="35">
        <f t="shared" si="101"/>
        <v>0</v>
      </c>
      <c r="AK125" s="41"/>
      <c r="AL125" s="41"/>
      <c r="AM125" s="34">
        <f>SUM(AM119:AM124)</f>
        <v>0</v>
      </c>
      <c r="AN125" s="34">
        <f>SUM(AN119:AN124)</f>
        <v>0</v>
      </c>
      <c r="AO125" s="34">
        <f>SUM(AO119:AO124)</f>
        <v>0</v>
      </c>
      <c r="AP125" s="34">
        <f>SUM(AP119:AP124)</f>
        <v>0</v>
      </c>
      <c r="AQ125" s="35">
        <f t="shared" ref="AQ125" si="103">SUM(AQ119:AQ124)</f>
        <v>0</v>
      </c>
    </row>
    <row r="126" spans="1:43" s="6" customFormat="1" ht="1.9" customHeight="1" x14ac:dyDescent="0.2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17"/>
      <c r="AK126" s="42"/>
      <c r="AL126" s="42"/>
      <c r="AM126" s="22"/>
      <c r="AN126" s="22"/>
      <c r="AO126" s="22"/>
      <c r="AP126" s="22"/>
      <c r="AQ126" s="17"/>
    </row>
    <row r="127" spans="1:43" s="6" customFormat="1" x14ac:dyDescent="0.2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17"/>
      <c r="AK127" s="42"/>
      <c r="AL127" s="42"/>
      <c r="AM127" s="22"/>
      <c r="AN127" s="22"/>
      <c r="AO127" s="22"/>
      <c r="AP127" s="22"/>
      <c r="AQ127" s="17"/>
    </row>
    <row r="128" spans="1:43" s="6" customFormat="1" x14ac:dyDescent="0.2">
      <c r="A128" s="11" t="s">
        <v>58</v>
      </c>
      <c r="B128" s="14" t="s">
        <v>16</v>
      </c>
      <c r="C128" s="15">
        <f t="shared" ref="C128:C133" si="104">+AK128+AL128</f>
        <v>0</v>
      </c>
      <c r="D128" s="16">
        <v>0</v>
      </c>
      <c r="E128" s="16">
        <v>0</v>
      </c>
      <c r="F128" s="16">
        <v>71896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7">
        <f t="shared" ref="AB128:AB133" si="105">SUM(C128:AA128)</f>
        <v>71896</v>
      </c>
      <c r="AK128" s="39"/>
      <c r="AL128" s="39"/>
      <c r="AM128" s="16">
        <f t="shared" ref="AM128:AM133" si="106">AN128+AO128</f>
        <v>0</v>
      </c>
      <c r="AN128" s="16">
        <v>0</v>
      </c>
      <c r="AO128" s="16"/>
      <c r="AP128" s="16">
        <v>0</v>
      </c>
      <c r="AQ128" s="17">
        <f t="shared" ref="AQ128:AQ133" si="107">SUM(D128:AB128)</f>
        <v>143792</v>
      </c>
    </row>
    <row r="129" spans="1:43" s="6" customFormat="1" x14ac:dyDescent="0.2">
      <c r="A129" s="11" t="s">
        <v>139</v>
      </c>
      <c r="B129" s="14" t="s">
        <v>17</v>
      </c>
      <c r="C129" s="15">
        <f t="shared" si="104"/>
        <v>0</v>
      </c>
      <c r="D129" s="16">
        <v>0</v>
      </c>
      <c r="E129" s="16">
        <v>0</v>
      </c>
      <c r="F129" s="16">
        <v>22098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7">
        <f t="shared" si="105"/>
        <v>22098</v>
      </c>
      <c r="AK129" s="39"/>
      <c r="AL129" s="39"/>
      <c r="AM129" s="16">
        <f t="shared" si="106"/>
        <v>0</v>
      </c>
      <c r="AN129" s="16">
        <v>0</v>
      </c>
      <c r="AO129" s="16"/>
      <c r="AP129" s="16">
        <v>0</v>
      </c>
      <c r="AQ129" s="17">
        <f t="shared" si="107"/>
        <v>44196</v>
      </c>
    </row>
    <row r="130" spans="1:43" s="6" customFormat="1" ht="25.5" x14ac:dyDescent="0.2">
      <c r="A130" s="11" t="s">
        <v>59</v>
      </c>
      <c r="B130" s="14" t="s">
        <v>18</v>
      </c>
      <c r="C130" s="15">
        <f t="shared" si="104"/>
        <v>0</v>
      </c>
      <c r="D130" s="16">
        <v>0</v>
      </c>
      <c r="E130" s="16">
        <v>0</v>
      </c>
      <c r="F130" s="16">
        <v>22716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7">
        <f t="shared" si="105"/>
        <v>22716</v>
      </c>
      <c r="AK130" s="39"/>
      <c r="AL130" s="39"/>
      <c r="AM130" s="16">
        <f t="shared" si="106"/>
        <v>0</v>
      </c>
      <c r="AN130" s="16">
        <v>0</v>
      </c>
      <c r="AO130" s="16"/>
      <c r="AP130" s="16">
        <v>0</v>
      </c>
      <c r="AQ130" s="17">
        <f t="shared" si="107"/>
        <v>45432</v>
      </c>
    </row>
    <row r="131" spans="1:43" s="6" customFormat="1" x14ac:dyDescent="0.2">
      <c r="A131" s="11" t="s">
        <v>60</v>
      </c>
      <c r="B131" s="14" t="s">
        <v>19</v>
      </c>
      <c r="C131" s="15">
        <f t="shared" si="104"/>
        <v>0</v>
      </c>
      <c r="D131" s="16">
        <v>0</v>
      </c>
      <c r="E131" s="16">
        <v>0</v>
      </c>
      <c r="F131" s="16">
        <v>67992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7">
        <f t="shared" si="105"/>
        <v>67992</v>
      </c>
      <c r="AK131" s="39"/>
      <c r="AL131" s="39"/>
      <c r="AM131" s="16">
        <f t="shared" si="106"/>
        <v>0</v>
      </c>
      <c r="AN131" s="16">
        <v>0</v>
      </c>
      <c r="AO131" s="16"/>
      <c r="AP131" s="16">
        <v>0</v>
      </c>
      <c r="AQ131" s="17">
        <f t="shared" si="107"/>
        <v>135984</v>
      </c>
    </row>
    <row r="132" spans="1:43" s="6" customFormat="1" x14ac:dyDescent="0.2">
      <c r="A132" s="11" t="s">
        <v>61</v>
      </c>
      <c r="B132" s="14" t="s">
        <v>20</v>
      </c>
      <c r="C132" s="15">
        <f t="shared" si="104"/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7">
        <f t="shared" si="105"/>
        <v>0</v>
      </c>
      <c r="AK132" s="39"/>
      <c r="AL132" s="39"/>
      <c r="AM132" s="16">
        <f t="shared" si="106"/>
        <v>0</v>
      </c>
      <c r="AN132" s="16">
        <v>0</v>
      </c>
      <c r="AO132" s="16"/>
      <c r="AP132" s="16">
        <v>0</v>
      </c>
      <c r="AQ132" s="17">
        <f t="shared" si="107"/>
        <v>0</v>
      </c>
    </row>
    <row r="133" spans="1:43" s="6" customFormat="1" x14ac:dyDescent="0.2">
      <c r="A133" s="11" t="s">
        <v>62</v>
      </c>
      <c r="B133" s="14" t="s">
        <v>21</v>
      </c>
      <c r="C133" s="15">
        <f t="shared" si="104"/>
        <v>0</v>
      </c>
      <c r="D133" s="16">
        <v>0</v>
      </c>
      <c r="E133" s="16">
        <v>0</v>
      </c>
      <c r="F133" s="16">
        <v>4500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7">
        <f t="shared" si="105"/>
        <v>4500</v>
      </c>
      <c r="AK133" s="39"/>
      <c r="AL133" s="39"/>
      <c r="AM133" s="16">
        <f t="shared" si="106"/>
        <v>0</v>
      </c>
      <c r="AN133" s="16">
        <v>0</v>
      </c>
      <c r="AO133" s="16"/>
      <c r="AP133" s="16">
        <v>0</v>
      </c>
      <c r="AQ133" s="17">
        <f t="shared" si="107"/>
        <v>9000</v>
      </c>
    </row>
    <row r="134" spans="1:43" s="6" customFormat="1" x14ac:dyDescent="0.2">
      <c r="A134" s="36" t="s">
        <v>86</v>
      </c>
      <c r="B134" s="32"/>
      <c r="C134" s="33">
        <f t="shared" ref="C134:AB134" si="108">SUM(C128:C133)</f>
        <v>0</v>
      </c>
      <c r="D134" s="34">
        <f t="shared" si="108"/>
        <v>0</v>
      </c>
      <c r="E134" s="34">
        <f t="shared" si="108"/>
        <v>0</v>
      </c>
      <c r="F134" s="34">
        <f t="shared" si="108"/>
        <v>189202</v>
      </c>
      <c r="G134" s="34">
        <f t="shared" si="108"/>
        <v>0</v>
      </c>
      <c r="H134" s="34">
        <f t="shared" ref="H134" si="109">SUM(H128:H133)</f>
        <v>0</v>
      </c>
      <c r="I134" s="34">
        <f t="shared" si="108"/>
        <v>0</v>
      </c>
      <c r="J134" s="34">
        <f t="shared" si="108"/>
        <v>0</v>
      </c>
      <c r="K134" s="34">
        <f t="shared" si="108"/>
        <v>0</v>
      </c>
      <c r="L134" s="34">
        <f t="shared" si="108"/>
        <v>0</v>
      </c>
      <c r="M134" s="34">
        <f t="shared" si="108"/>
        <v>0</v>
      </c>
      <c r="N134" s="34">
        <f t="shared" si="108"/>
        <v>0</v>
      </c>
      <c r="O134" s="34">
        <f t="shared" si="108"/>
        <v>0</v>
      </c>
      <c r="P134" s="34">
        <f t="shared" si="108"/>
        <v>0</v>
      </c>
      <c r="Q134" s="34">
        <f t="shared" si="108"/>
        <v>0</v>
      </c>
      <c r="R134" s="34">
        <f t="shared" si="108"/>
        <v>0</v>
      </c>
      <c r="S134" s="34">
        <f t="shared" si="108"/>
        <v>0</v>
      </c>
      <c r="T134" s="34">
        <f t="shared" si="108"/>
        <v>0</v>
      </c>
      <c r="U134" s="34">
        <f t="shared" si="108"/>
        <v>0</v>
      </c>
      <c r="V134" s="34">
        <f t="shared" si="108"/>
        <v>0</v>
      </c>
      <c r="W134" s="34">
        <f t="shared" si="108"/>
        <v>0</v>
      </c>
      <c r="X134" s="34">
        <f t="shared" si="108"/>
        <v>0</v>
      </c>
      <c r="Y134" s="34">
        <f t="shared" si="108"/>
        <v>0</v>
      </c>
      <c r="Z134" s="34">
        <f t="shared" si="108"/>
        <v>0</v>
      </c>
      <c r="AA134" s="34">
        <f t="shared" si="108"/>
        <v>0</v>
      </c>
      <c r="AB134" s="35">
        <f t="shared" si="108"/>
        <v>189202</v>
      </c>
      <c r="AK134" s="41"/>
      <c r="AL134" s="41"/>
      <c r="AM134" s="34">
        <f>SUM(AM128:AM133)</f>
        <v>0</v>
      </c>
      <c r="AN134" s="34">
        <f>SUM(AN128:AN133)</f>
        <v>0</v>
      </c>
      <c r="AO134" s="34">
        <f>SUM(AO128:AO133)</f>
        <v>0</v>
      </c>
      <c r="AP134" s="34">
        <f>SUM(AP128:AP133)</f>
        <v>0</v>
      </c>
      <c r="AQ134" s="35">
        <f t="shared" ref="AQ134" si="110">SUM(AQ128:AQ133)</f>
        <v>378404</v>
      </c>
    </row>
    <row r="135" spans="1:43" s="6" customFormat="1" ht="1.9" customHeight="1" x14ac:dyDescent="0.2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17"/>
      <c r="AK135" s="42"/>
      <c r="AL135" s="42"/>
      <c r="AM135" s="22"/>
      <c r="AN135" s="22"/>
      <c r="AO135" s="22"/>
      <c r="AP135" s="22"/>
      <c r="AQ135" s="17"/>
    </row>
    <row r="136" spans="1:43" s="6" customFormat="1" x14ac:dyDescent="0.2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17"/>
      <c r="AK136" s="42"/>
      <c r="AL136" s="42"/>
      <c r="AM136" s="22"/>
      <c r="AN136" s="22"/>
      <c r="AO136" s="22"/>
      <c r="AP136" s="22"/>
      <c r="AQ136" s="17"/>
    </row>
    <row r="137" spans="1:43" s="6" customFormat="1" x14ac:dyDescent="0.2">
      <c r="A137" s="11" t="s">
        <v>58</v>
      </c>
      <c r="B137" s="14" t="s">
        <v>16</v>
      </c>
      <c r="C137" s="15">
        <f t="shared" ref="C137:C142" si="111">+AK137+AL137</f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7">
        <f t="shared" ref="AB137:AB142" si="112">SUM(C137:AA137)</f>
        <v>0</v>
      </c>
      <c r="AK137" s="39"/>
      <c r="AL137" s="39"/>
      <c r="AM137" s="16">
        <f t="shared" ref="AM137:AM142" si="113">AN137+AO137</f>
        <v>0</v>
      </c>
      <c r="AN137" s="16">
        <v>0</v>
      </c>
      <c r="AO137" s="16"/>
      <c r="AP137" s="16">
        <v>0</v>
      </c>
      <c r="AQ137" s="17">
        <f t="shared" ref="AQ137:AQ142" si="114">SUM(D137:AB137)</f>
        <v>0</v>
      </c>
    </row>
    <row r="138" spans="1:43" s="6" customFormat="1" x14ac:dyDescent="0.2">
      <c r="A138" s="11" t="s">
        <v>139</v>
      </c>
      <c r="B138" s="14" t="s">
        <v>17</v>
      </c>
      <c r="C138" s="15">
        <f t="shared" si="111"/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7">
        <f t="shared" si="112"/>
        <v>0</v>
      </c>
      <c r="AK138" s="39"/>
      <c r="AL138" s="39"/>
      <c r="AM138" s="16">
        <f t="shared" si="113"/>
        <v>0</v>
      </c>
      <c r="AN138" s="16">
        <v>0</v>
      </c>
      <c r="AO138" s="16"/>
      <c r="AP138" s="16">
        <v>0</v>
      </c>
      <c r="AQ138" s="17">
        <f t="shared" si="114"/>
        <v>0</v>
      </c>
    </row>
    <row r="139" spans="1:43" s="6" customFormat="1" ht="25.5" x14ac:dyDescent="0.2">
      <c r="A139" s="11" t="s">
        <v>59</v>
      </c>
      <c r="B139" s="14" t="s">
        <v>18</v>
      </c>
      <c r="C139" s="15">
        <f t="shared" si="111"/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7">
        <f t="shared" si="112"/>
        <v>0</v>
      </c>
      <c r="AK139" s="39"/>
      <c r="AL139" s="39"/>
      <c r="AM139" s="16">
        <f t="shared" si="113"/>
        <v>0</v>
      </c>
      <c r="AN139" s="16">
        <v>0</v>
      </c>
      <c r="AO139" s="16"/>
      <c r="AP139" s="16">
        <v>0</v>
      </c>
      <c r="AQ139" s="17">
        <f t="shared" si="114"/>
        <v>0</v>
      </c>
    </row>
    <row r="140" spans="1:43" s="6" customFormat="1" x14ac:dyDescent="0.2">
      <c r="A140" s="11" t="s">
        <v>60</v>
      </c>
      <c r="B140" s="14" t="s">
        <v>19</v>
      </c>
      <c r="C140" s="15">
        <f t="shared" si="111"/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7">
        <f t="shared" si="112"/>
        <v>0</v>
      </c>
      <c r="AK140" s="39"/>
      <c r="AL140" s="39"/>
      <c r="AM140" s="16">
        <f t="shared" si="113"/>
        <v>0</v>
      </c>
      <c r="AN140" s="16">
        <v>0</v>
      </c>
      <c r="AO140" s="16"/>
      <c r="AP140" s="16">
        <v>0</v>
      </c>
      <c r="AQ140" s="17">
        <f t="shared" si="114"/>
        <v>0</v>
      </c>
    </row>
    <row r="141" spans="1:43" s="6" customFormat="1" x14ac:dyDescent="0.2">
      <c r="A141" s="11" t="s">
        <v>61</v>
      </c>
      <c r="B141" s="14" t="s">
        <v>20</v>
      </c>
      <c r="C141" s="15">
        <f t="shared" si="111"/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7">
        <f t="shared" si="112"/>
        <v>0</v>
      </c>
      <c r="AK141" s="39"/>
      <c r="AL141" s="39"/>
      <c r="AM141" s="16">
        <f t="shared" si="113"/>
        <v>0</v>
      </c>
      <c r="AN141" s="16">
        <v>0</v>
      </c>
      <c r="AO141" s="16"/>
      <c r="AP141" s="16">
        <v>0</v>
      </c>
      <c r="AQ141" s="17">
        <f t="shared" si="114"/>
        <v>0</v>
      </c>
    </row>
    <row r="142" spans="1:43" s="6" customFormat="1" x14ac:dyDescent="0.2">
      <c r="A142" s="11" t="s">
        <v>62</v>
      </c>
      <c r="B142" s="14" t="s">
        <v>21</v>
      </c>
      <c r="C142" s="15">
        <f t="shared" si="111"/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7">
        <f t="shared" si="112"/>
        <v>0</v>
      </c>
      <c r="AK142" s="39"/>
      <c r="AL142" s="39"/>
      <c r="AM142" s="16">
        <f t="shared" si="113"/>
        <v>0</v>
      </c>
      <c r="AN142" s="16">
        <v>0</v>
      </c>
      <c r="AO142" s="16"/>
      <c r="AP142" s="16">
        <v>0</v>
      </c>
      <c r="AQ142" s="17">
        <f t="shared" si="114"/>
        <v>0</v>
      </c>
    </row>
    <row r="143" spans="1:43" s="6" customFormat="1" x14ac:dyDescent="0.2">
      <c r="A143" s="36" t="s">
        <v>87</v>
      </c>
      <c r="B143" s="32"/>
      <c r="C143" s="33">
        <f t="shared" ref="C143:AB143" si="115">SUM(C137:C142)</f>
        <v>0</v>
      </c>
      <c r="D143" s="34">
        <f t="shared" si="115"/>
        <v>0</v>
      </c>
      <c r="E143" s="34">
        <f t="shared" si="115"/>
        <v>0</v>
      </c>
      <c r="F143" s="34">
        <f t="shared" si="115"/>
        <v>0</v>
      </c>
      <c r="G143" s="34">
        <f t="shared" si="115"/>
        <v>0</v>
      </c>
      <c r="H143" s="34">
        <f t="shared" ref="H143" si="116">SUM(H137:H142)</f>
        <v>0</v>
      </c>
      <c r="I143" s="34">
        <f t="shared" si="115"/>
        <v>0</v>
      </c>
      <c r="J143" s="34">
        <f t="shared" si="115"/>
        <v>0</v>
      </c>
      <c r="K143" s="34">
        <f t="shared" si="115"/>
        <v>0</v>
      </c>
      <c r="L143" s="34">
        <f t="shared" si="115"/>
        <v>0</v>
      </c>
      <c r="M143" s="34">
        <f t="shared" si="115"/>
        <v>0</v>
      </c>
      <c r="N143" s="34">
        <f t="shared" si="115"/>
        <v>0</v>
      </c>
      <c r="O143" s="34">
        <f t="shared" si="115"/>
        <v>0</v>
      </c>
      <c r="P143" s="34">
        <f t="shared" si="115"/>
        <v>0</v>
      </c>
      <c r="Q143" s="34">
        <f t="shared" si="115"/>
        <v>0</v>
      </c>
      <c r="R143" s="34">
        <f t="shared" si="115"/>
        <v>0</v>
      </c>
      <c r="S143" s="34">
        <f t="shared" si="115"/>
        <v>0</v>
      </c>
      <c r="T143" s="34">
        <f t="shared" si="115"/>
        <v>0</v>
      </c>
      <c r="U143" s="34">
        <f t="shared" si="115"/>
        <v>0</v>
      </c>
      <c r="V143" s="34">
        <f t="shared" si="115"/>
        <v>0</v>
      </c>
      <c r="W143" s="34">
        <f t="shared" si="115"/>
        <v>0</v>
      </c>
      <c r="X143" s="34">
        <f t="shared" si="115"/>
        <v>0</v>
      </c>
      <c r="Y143" s="34">
        <f t="shared" si="115"/>
        <v>0</v>
      </c>
      <c r="Z143" s="34">
        <f t="shared" si="115"/>
        <v>0</v>
      </c>
      <c r="AA143" s="34">
        <f t="shared" si="115"/>
        <v>0</v>
      </c>
      <c r="AB143" s="35">
        <f t="shared" si="115"/>
        <v>0</v>
      </c>
      <c r="AK143" s="41"/>
      <c r="AL143" s="41"/>
      <c r="AM143" s="34">
        <f>SUM(AM137:AM142)</f>
        <v>0</v>
      </c>
      <c r="AN143" s="34">
        <f>SUM(AN137:AN142)</f>
        <v>0</v>
      </c>
      <c r="AO143" s="34">
        <f>SUM(AO137:AO142)</f>
        <v>0</v>
      </c>
      <c r="AP143" s="34">
        <f>SUM(AP137:AP142)</f>
        <v>0</v>
      </c>
      <c r="AQ143" s="35">
        <f t="shared" ref="AQ143" si="117">SUM(AQ137:AQ142)</f>
        <v>0</v>
      </c>
    </row>
    <row r="144" spans="1:43" s="6" customFormat="1" ht="1.9" customHeight="1" x14ac:dyDescent="0.2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17"/>
      <c r="AK144" s="42"/>
      <c r="AL144" s="42"/>
      <c r="AM144" s="22"/>
      <c r="AN144" s="22"/>
      <c r="AO144" s="22"/>
      <c r="AP144" s="22"/>
      <c r="AQ144" s="17"/>
    </row>
    <row r="145" spans="1:43" s="6" customFormat="1" x14ac:dyDescent="0.2">
      <c r="A145" s="36" t="s">
        <v>88</v>
      </c>
      <c r="B145" s="32"/>
      <c r="C145" s="33">
        <f t="shared" ref="C145:AB145" si="118">SUM(C134+C125+C117+C108+C99+C90+C81+C73+C64+C55+C46+C37+C143)</f>
        <v>77365650</v>
      </c>
      <c r="D145" s="34">
        <f t="shared" si="118"/>
        <v>3400000</v>
      </c>
      <c r="E145" s="34">
        <f t="shared" si="118"/>
        <v>12944801</v>
      </c>
      <c r="F145" s="34">
        <f t="shared" si="118"/>
        <v>22925624</v>
      </c>
      <c r="G145" s="34">
        <f t="shared" si="118"/>
        <v>0</v>
      </c>
      <c r="H145" s="34">
        <f t="shared" ref="H145" si="119">SUM(H134+H125+H117+H108+H99+H90+H81+H73+H64+H55+H46+H37+H143)</f>
        <v>0</v>
      </c>
      <c r="I145" s="34">
        <f t="shared" si="118"/>
        <v>0</v>
      </c>
      <c r="J145" s="34">
        <f t="shared" si="118"/>
        <v>0</v>
      </c>
      <c r="K145" s="34">
        <f t="shared" si="118"/>
        <v>0</v>
      </c>
      <c r="L145" s="34">
        <f t="shared" si="118"/>
        <v>46000</v>
      </c>
      <c r="M145" s="34">
        <f t="shared" si="118"/>
        <v>0</v>
      </c>
      <c r="N145" s="34">
        <f t="shared" si="118"/>
        <v>0</v>
      </c>
      <c r="O145" s="34">
        <f t="shared" si="118"/>
        <v>0</v>
      </c>
      <c r="P145" s="34">
        <f t="shared" si="118"/>
        <v>0</v>
      </c>
      <c r="Q145" s="34">
        <f t="shared" si="118"/>
        <v>4014212</v>
      </c>
      <c r="R145" s="34">
        <f t="shared" si="118"/>
        <v>0</v>
      </c>
      <c r="S145" s="34">
        <f t="shared" si="118"/>
        <v>0</v>
      </c>
      <c r="T145" s="34">
        <f t="shared" si="118"/>
        <v>0</v>
      </c>
      <c r="U145" s="34">
        <f t="shared" si="118"/>
        <v>1816000</v>
      </c>
      <c r="V145" s="34">
        <f t="shared" si="118"/>
        <v>0</v>
      </c>
      <c r="W145" s="34">
        <f t="shared" si="118"/>
        <v>0</v>
      </c>
      <c r="X145" s="34">
        <f t="shared" si="118"/>
        <v>0</v>
      </c>
      <c r="Y145" s="34">
        <f t="shared" si="118"/>
        <v>0</v>
      </c>
      <c r="Z145" s="34">
        <f t="shared" si="118"/>
        <v>0</v>
      </c>
      <c r="AA145" s="34">
        <f t="shared" si="118"/>
        <v>0</v>
      </c>
      <c r="AB145" s="35">
        <f t="shared" si="118"/>
        <v>122512287</v>
      </c>
      <c r="AK145" s="33">
        <f t="shared" ref="AK145:AP145" si="120">SUM(AK134+AK125+AK117+AK108+AK99+AK90+AK81+AK73+AK64+AK55+AK46+AK37+AK143)</f>
        <v>76504041</v>
      </c>
      <c r="AL145" s="33">
        <f t="shared" si="120"/>
        <v>861609</v>
      </c>
      <c r="AM145" s="34">
        <f t="shared" si="120"/>
        <v>8369814</v>
      </c>
      <c r="AN145" s="34">
        <f t="shared" si="120"/>
        <v>8369814</v>
      </c>
      <c r="AO145" s="34">
        <f t="shared" si="120"/>
        <v>0</v>
      </c>
      <c r="AP145" s="34">
        <f t="shared" si="120"/>
        <v>515360</v>
      </c>
      <c r="AQ145" s="35">
        <f t="shared" ref="AQ145" si="121">SUM(AQ134+AQ125+AQ117+AQ108+AQ99+AQ90+AQ81+AQ73+AQ64+AQ55+AQ46+AQ37+AQ143)</f>
        <v>79435304</v>
      </c>
    </row>
    <row r="146" spans="1:43" s="6" customFormat="1" ht="1.9" customHeight="1" x14ac:dyDescent="0.2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17"/>
      <c r="AK146" s="42"/>
      <c r="AL146" s="42"/>
      <c r="AM146" s="22"/>
      <c r="AN146" s="22"/>
      <c r="AO146" s="22"/>
      <c r="AP146" s="22"/>
      <c r="AQ146" s="17"/>
    </row>
    <row r="147" spans="1:43" s="6" customFormat="1" x14ac:dyDescent="0.2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17"/>
      <c r="AK147" s="42"/>
      <c r="AL147" s="42"/>
      <c r="AM147" s="22"/>
      <c r="AN147" s="22"/>
      <c r="AO147" s="22"/>
      <c r="AP147" s="22"/>
      <c r="AQ147" s="17"/>
    </row>
    <row r="148" spans="1:43" s="6" customFormat="1" x14ac:dyDescent="0.2">
      <c r="A148" s="11" t="s">
        <v>58</v>
      </c>
      <c r="B148" s="14" t="s">
        <v>16</v>
      </c>
      <c r="C148" s="15">
        <f>+AK148+AL148</f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7">
        <f t="shared" ref="AB148:AB153" si="122">SUM(C148:AA148)</f>
        <v>0</v>
      </c>
      <c r="AK148" s="39">
        <v>0</v>
      </c>
      <c r="AL148" s="39"/>
      <c r="AM148" s="16">
        <f t="shared" ref="AM148:AM153" si="123">AN148+AO148</f>
        <v>0</v>
      </c>
      <c r="AN148" s="16">
        <v>0</v>
      </c>
      <c r="AO148" s="16"/>
      <c r="AP148" s="16">
        <v>0</v>
      </c>
      <c r="AQ148" s="17">
        <f t="shared" ref="AQ148:AQ153" si="124">C148</f>
        <v>0</v>
      </c>
    </row>
    <row r="149" spans="1:43" s="6" customFormat="1" x14ac:dyDescent="0.2">
      <c r="A149" s="11" t="s">
        <v>139</v>
      </c>
      <c r="B149" s="14" t="s">
        <v>17</v>
      </c>
      <c r="C149" s="15">
        <f>+AK149+AL149</f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7">
        <f t="shared" si="122"/>
        <v>0</v>
      </c>
      <c r="AK149" s="39">
        <v>0</v>
      </c>
      <c r="AL149" s="39"/>
      <c r="AM149" s="16">
        <f t="shared" si="123"/>
        <v>0</v>
      </c>
      <c r="AN149" s="16">
        <v>0</v>
      </c>
      <c r="AO149" s="16"/>
      <c r="AP149" s="16">
        <v>0</v>
      </c>
      <c r="AQ149" s="17">
        <f t="shared" si="124"/>
        <v>0</v>
      </c>
    </row>
    <row r="150" spans="1:43" s="6" customFormat="1" ht="25.5" x14ac:dyDescent="0.2">
      <c r="A150" s="11" t="s">
        <v>59</v>
      </c>
      <c r="B150" s="14" t="s">
        <v>18</v>
      </c>
      <c r="C150" s="15">
        <v>541576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f>48603+66859+12518+80028+48654+212156</f>
        <v>468818</v>
      </c>
      <c r="P150" s="6">
        <v>0</v>
      </c>
      <c r="Q150" s="16">
        <f>121446+202800+1469324</f>
        <v>1793570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7">
        <f t="shared" si="122"/>
        <v>2803964</v>
      </c>
      <c r="AK150" s="39">
        <v>541576</v>
      </c>
      <c r="AL150" s="39"/>
      <c r="AM150" s="16">
        <f t="shared" si="123"/>
        <v>0</v>
      </c>
      <c r="AN150" s="16">
        <v>0</v>
      </c>
      <c r="AO150" s="16"/>
      <c r="AP150" s="16">
        <v>0</v>
      </c>
      <c r="AQ150" s="17">
        <f t="shared" si="124"/>
        <v>541576</v>
      </c>
    </row>
    <row r="151" spans="1:43" s="6" customFormat="1" x14ac:dyDescent="0.2">
      <c r="A151" s="11" t="s">
        <v>60</v>
      </c>
      <c r="B151" s="14" t="s">
        <v>19</v>
      </c>
      <c r="C151" s="15">
        <f>+AK151+AL151</f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/>
      <c r="P151" s="16">
        <v>0</v>
      </c>
      <c r="Q151" s="16">
        <f>100000+290750</f>
        <v>390750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7">
        <f t="shared" si="122"/>
        <v>390750</v>
      </c>
      <c r="AK151" s="39">
        <v>0</v>
      </c>
      <c r="AL151" s="39"/>
      <c r="AM151" s="16">
        <f t="shared" si="123"/>
        <v>0</v>
      </c>
      <c r="AN151" s="16">
        <v>0</v>
      </c>
      <c r="AO151" s="16"/>
      <c r="AP151" s="16">
        <v>0</v>
      </c>
      <c r="AQ151" s="17">
        <f t="shared" si="124"/>
        <v>0</v>
      </c>
    </row>
    <row r="152" spans="1:43" s="6" customFormat="1" x14ac:dyDescent="0.2">
      <c r="A152" s="11" t="s">
        <v>61</v>
      </c>
      <c r="B152" s="14" t="s">
        <v>20</v>
      </c>
      <c r="C152" s="15">
        <f>+AK152+AL152</f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f>29960+30080+29990+30410+30200+30200+29840+71060+26566+33860+30530+30110+31150+30080+30080+29840+30110+30110+29990+75587+31670+30840+56548+30350+3975339+1250841+1886974+64428+4585752+1677213+2282740+31010+30600+29954+60310+4086338</f>
        <v>20800660</v>
      </c>
      <c r="P152" s="16">
        <v>0</v>
      </c>
      <c r="Q152" s="16">
        <f>25937+7087+12374+225046+64752+468236+329110+4866+6232+14386+5694+209245+217559+633474+419010+317846+386634+386634+37572+1859934+2031744+194574+260000+313002+100000+61438+6600000+945116+250+16770+3517474</f>
        <v>19671996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7">
        <f t="shared" si="122"/>
        <v>40472656</v>
      </c>
      <c r="AK152" s="39">
        <v>0</v>
      </c>
      <c r="AL152" s="39"/>
      <c r="AM152" s="16">
        <f t="shared" si="123"/>
        <v>0</v>
      </c>
      <c r="AN152" s="16">
        <v>0</v>
      </c>
      <c r="AO152" s="16"/>
      <c r="AP152" s="16">
        <v>0</v>
      </c>
      <c r="AQ152" s="17">
        <f t="shared" si="124"/>
        <v>0</v>
      </c>
    </row>
    <row r="153" spans="1:43" s="6" customFormat="1" x14ac:dyDescent="0.2">
      <c r="A153" s="11" t="s">
        <v>62</v>
      </c>
      <c r="B153" s="14" t="s">
        <v>21</v>
      </c>
      <c r="C153" s="15">
        <f>+AK153+AL153</f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7">
        <f t="shared" si="122"/>
        <v>0</v>
      </c>
      <c r="AK153" s="39">
        <v>0</v>
      </c>
      <c r="AL153" s="39"/>
      <c r="AM153" s="16">
        <f t="shared" si="123"/>
        <v>0</v>
      </c>
      <c r="AN153" s="16">
        <v>0</v>
      </c>
      <c r="AO153" s="16"/>
      <c r="AP153" s="16">
        <v>0</v>
      </c>
      <c r="AQ153" s="17">
        <f t="shared" si="124"/>
        <v>0</v>
      </c>
    </row>
    <row r="154" spans="1:43" s="6" customFormat="1" x14ac:dyDescent="0.2">
      <c r="A154" s="36" t="s">
        <v>89</v>
      </c>
      <c r="B154" s="32"/>
      <c r="C154" s="33">
        <f t="shared" ref="C154:AB154" si="125">SUM(C148:C153)</f>
        <v>541576</v>
      </c>
      <c r="D154" s="34">
        <f t="shared" si="125"/>
        <v>0</v>
      </c>
      <c r="E154" s="34">
        <f t="shared" si="125"/>
        <v>0</v>
      </c>
      <c r="F154" s="34">
        <f t="shared" si="125"/>
        <v>0</v>
      </c>
      <c r="G154" s="34">
        <f t="shared" si="125"/>
        <v>0</v>
      </c>
      <c r="H154" s="34">
        <f t="shared" ref="H154" si="126">SUM(H148:H153)</f>
        <v>0</v>
      </c>
      <c r="I154" s="34">
        <f t="shared" si="125"/>
        <v>0</v>
      </c>
      <c r="J154" s="34">
        <f t="shared" si="125"/>
        <v>0</v>
      </c>
      <c r="K154" s="34">
        <f t="shared" si="125"/>
        <v>0</v>
      </c>
      <c r="L154" s="34">
        <f t="shared" si="125"/>
        <v>0</v>
      </c>
      <c r="M154" s="34">
        <f t="shared" si="125"/>
        <v>0</v>
      </c>
      <c r="N154" s="34">
        <f t="shared" si="125"/>
        <v>0</v>
      </c>
      <c r="O154" s="34">
        <f t="shared" si="125"/>
        <v>21269478</v>
      </c>
      <c r="P154" s="34">
        <f t="shared" si="125"/>
        <v>0</v>
      </c>
      <c r="Q154" s="34">
        <f t="shared" si="125"/>
        <v>21856316</v>
      </c>
      <c r="R154" s="34">
        <f t="shared" si="125"/>
        <v>0</v>
      </c>
      <c r="S154" s="34">
        <f t="shared" si="125"/>
        <v>0</v>
      </c>
      <c r="T154" s="34">
        <f t="shared" si="125"/>
        <v>0</v>
      </c>
      <c r="U154" s="34">
        <f t="shared" si="125"/>
        <v>0</v>
      </c>
      <c r="V154" s="34">
        <f t="shared" si="125"/>
        <v>0</v>
      </c>
      <c r="W154" s="34">
        <f t="shared" si="125"/>
        <v>0</v>
      </c>
      <c r="X154" s="34">
        <f t="shared" si="125"/>
        <v>0</v>
      </c>
      <c r="Y154" s="34">
        <f t="shared" si="125"/>
        <v>0</v>
      </c>
      <c r="Z154" s="34">
        <f t="shared" si="125"/>
        <v>0</v>
      </c>
      <c r="AA154" s="34">
        <f t="shared" si="125"/>
        <v>0</v>
      </c>
      <c r="AB154" s="35">
        <f t="shared" si="125"/>
        <v>43667370</v>
      </c>
      <c r="AK154" s="33">
        <f t="shared" ref="AK154:AP154" si="127">SUM(AK148:AK153)</f>
        <v>541576</v>
      </c>
      <c r="AL154" s="33">
        <f t="shared" si="127"/>
        <v>0</v>
      </c>
      <c r="AM154" s="34">
        <f t="shared" si="127"/>
        <v>0</v>
      </c>
      <c r="AN154" s="34">
        <f t="shared" si="127"/>
        <v>0</v>
      </c>
      <c r="AO154" s="34">
        <f t="shared" si="127"/>
        <v>0</v>
      </c>
      <c r="AP154" s="34">
        <f t="shared" si="127"/>
        <v>0</v>
      </c>
      <c r="AQ154" s="35">
        <f t="shared" ref="AQ154" si="128">SUM(AQ148:AQ153)</f>
        <v>541576</v>
      </c>
    </row>
    <row r="155" spans="1:43" s="6" customFormat="1" ht="1.9" customHeight="1" x14ac:dyDescent="0.2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17"/>
      <c r="AK155" s="42"/>
      <c r="AL155" s="42"/>
      <c r="AM155" s="22"/>
      <c r="AN155" s="22"/>
      <c r="AO155" s="22"/>
      <c r="AP155" s="22"/>
      <c r="AQ155" s="17"/>
    </row>
    <row r="156" spans="1:43" s="6" customFormat="1" ht="38.25" x14ac:dyDescent="0.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17"/>
      <c r="AK156" s="42"/>
      <c r="AL156" s="42"/>
      <c r="AM156" s="22"/>
      <c r="AN156" s="22"/>
      <c r="AO156" s="22"/>
      <c r="AP156" s="22"/>
      <c r="AQ156" s="17"/>
    </row>
    <row r="157" spans="1:43" s="6" customFormat="1" x14ac:dyDescent="0.2">
      <c r="A157" s="11" t="s">
        <v>58</v>
      </c>
      <c r="B157" s="14" t="s">
        <v>16</v>
      </c>
      <c r="C157" s="24" t="s">
        <v>35</v>
      </c>
      <c r="D157" s="25" t="s">
        <v>35</v>
      </c>
      <c r="E157" s="25" t="s">
        <v>35</v>
      </c>
      <c r="F157" s="25" t="s">
        <v>35</v>
      </c>
      <c r="G157" s="25" t="s">
        <v>35</v>
      </c>
      <c r="H157" s="25" t="s">
        <v>35</v>
      </c>
      <c r="I157" s="25" t="s">
        <v>35</v>
      </c>
      <c r="J157" s="25" t="s">
        <v>35</v>
      </c>
      <c r="K157" s="25" t="s">
        <v>35</v>
      </c>
      <c r="L157" s="25" t="s">
        <v>35</v>
      </c>
      <c r="M157" s="25" t="s">
        <v>35</v>
      </c>
      <c r="N157" s="25" t="s">
        <v>35</v>
      </c>
      <c r="O157" s="25" t="s">
        <v>35</v>
      </c>
      <c r="P157" s="25" t="s">
        <v>35</v>
      </c>
      <c r="Q157" s="25" t="s">
        <v>35</v>
      </c>
      <c r="R157" s="25" t="s">
        <v>35</v>
      </c>
      <c r="S157" s="25" t="s">
        <v>35</v>
      </c>
      <c r="T157" s="25" t="s">
        <v>35</v>
      </c>
      <c r="U157" s="25" t="s">
        <v>35</v>
      </c>
      <c r="V157" s="25" t="s">
        <v>35</v>
      </c>
      <c r="W157" s="25" t="s">
        <v>35</v>
      </c>
      <c r="X157" s="25" t="s">
        <v>35</v>
      </c>
      <c r="Y157" s="25" t="s">
        <v>35</v>
      </c>
      <c r="Z157" s="25" t="s">
        <v>35</v>
      </c>
      <c r="AA157" s="25" t="s">
        <v>35</v>
      </c>
      <c r="AB157" s="26">
        <f t="shared" ref="AB157:AB162" si="129">SUM(C157:AA157)</f>
        <v>0</v>
      </c>
      <c r="AK157" s="44"/>
      <c r="AL157" s="44"/>
      <c r="AM157" s="25" t="s">
        <v>35</v>
      </c>
      <c r="AN157" s="25"/>
      <c r="AO157" s="25"/>
      <c r="AP157" s="25" t="s">
        <v>35</v>
      </c>
      <c r="AQ157" s="26" t="str">
        <f t="shared" ref="AQ157:AQ162" si="130">C157</f>
        <v>N/A</v>
      </c>
    </row>
    <row r="158" spans="1:43" s="6" customFormat="1" x14ac:dyDescent="0.2">
      <c r="A158" s="11" t="s">
        <v>139</v>
      </c>
      <c r="B158" s="14" t="s">
        <v>17</v>
      </c>
      <c r="C158" s="24" t="s">
        <v>35</v>
      </c>
      <c r="D158" s="25" t="s">
        <v>35</v>
      </c>
      <c r="E158" s="25" t="s">
        <v>35</v>
      </c>
      <c r="F158" s="25" t="s">
        <v>35</v>
      </c>
      <c r="G158" s="25" t="s">
        <v>35</v>
      </c>
      <c r="H158" s="25" t="s">
        <v>35</v>
      </c>
      <c r="I158" s="25" t="s">
        <v>35</v>
      </c>
      <c r="J158" s="25" t="s">
        <v>35</v>
      </c>
      <c r="K158" s="25" t="s">
        <v>35</v>
      </c>
      <c r="L158" s="25" t="s">
        <v>35</v>
      </c>
      <c r="M158" s="25" t="s">
        <v>35</v>
      </c>
      <c r="N158" s="25" t="s">
        <v>35</v>
      </c>
      <c r="O158" s="25" t="s">
        <v>35</v>
      </c>
      <c r="P158" s="25" t="s">
        <v>35</v>
      </c>
      <c r="Q158" s="25" t="s">
        <v>35</v>
      </c>
      <c r="R158" s="25" t="s">
        <v>35</v>
      </c>
      <c r="S158" s="25" t="s">
        <v>35</v>
      </c>
      <c r="T158" s="25" t="s">
        <v>35</v>
      </c>
      <c r="U158" s="25" t="s">
        <v>35</v>
      </c>
      <c r="V158" s="25" t="s">
        <v>35</v>
      </c>
      <c r="W158" s="25" t="s">
        <v>35</v>
      </c>
      <c r="X158" s="25" t="s">
        <v>35</v>
      </c>
      <c r="Y158" s="25" t="s">
        <v>35</v>
      </c>
      <c r="Z158" s="25" t="s">
        <v>35</v>
      </c>
      <c r="AA158" s="25" t="s">
        <v>35</v>
      </c>
      <c r="AB158" s="26">
        <f t="shared" si="129"/>
        <v>0</v>
      </c>
      <c r="AK158" s="44"/>
      <c r="AL158" s="44"/>
      <c r="AM158" s="25" t="s">
        <v>35</v>
      </c>
      <c r="AN158" s="25"/>
      <c r="AO158" s="25"/>
      <c r="AP158" s="25" t="s">
        <v>35</v>
      </c>
      <c r="AQ158" s="26" t="str">
        <f t="shared" si="130"/>
        <v>N/A</v>
      </c>
    </row>
    <row r="159" spans="1:43" s="6" customFormat="1" ht="25.5" x14ac:dyDescent="0.2">
      <c r="A159" s="11" t="s">
        <v>59</v>
      </c>
      <c r="B159" s="14" t="s">
        <v>18</v>
      </c>
      <c r="C159" s="24" t="s">
        <v>35</v>
      </c>
      <c r="D159" s="25" t="s">
        <v>35</v>
      </c>
      <c r="E159" s="25" t="s">
        <v>35</v>
      </c>
      <c r="F159" s="25" t="s">
        <v>35</v>
      </c>
      <c r="G159" s="25" t="s">
        <v>35</v>
      </c>
      <c r="H159" s="25" t="s">
        <v>35</v>
      </c>
      <c r="I159" s="25" t="s">
        <v>35</v>
      </c>
      <c r="J159" s="25" t="s">
        <v>35</v>
      </c>
      <c r="K159" s="25" t="s">
        <v>35</v>
      </c>
      <c r="L159" s="25" t="s">
        <v>35</v>
      </c>
      <c r="M159" s="25" t="s">
        <v>35</v>
      </c>
      <c r="N159" s="25" t="s">
        <v>35</v>
      </c>
      <c r="O159" s="25" t="s">
        <v>35</v>
      </c>
      <c r="P159" s="25" t="s">
        <v>35</v>
      </c>
      <c r="Q159" s="25" t="s">
        <v>35</v>
      </c>
      <c r="R159" s="25" t="s">
        <v>35</v>
      </c>
      <c r="S159" s="25" t="s">
        <v>35</v>
      </c>
      <c r="T159" s="25" t="s">
        <v>35</v>
      </c>
      <c r="U159" s="25" t="s">
        <v>35</v>
      </c>
      <c r="V159" s="25" t="s">
        <v>35</v>
      </c>
      <c r="W159" s="25" t="s">
        <v>35</v>
      </c>
      <c r="X159" s="25" t="s">
        <v>35</v>
      </c>
      <c r="Y159" s="25" t="s">
        <v>35</v>
      </c>
      <c r="Z159" s="25" t="s">
        <v>35</v>
      </c>
      <c r="AA159" s="25" t="s">
        <v>35</v>
      </c>
      <c r="AB159" s="26">
        <f t="shared" si="129"/>
        <v>0</v>
      </c>
      <c r="AK159" s="44"/>
      <c r="AL159" s="44"/>
      <c r="AM159" s="25" t="s">
        <v>35</v>
      </c>
      <c r="AN159" s="25">
        <v>4000</v>
      </c>
      <c r="AO159" s="25"/>
      <c r="AP159" s="25" t="s">
        <v>35</v>
      </c>
      <c r="AQ159" s="26" t="str">
        <f t="shared" si="130"/>
        <v>N/A</v>
      </c>
    </row>
    <row r="160" spans="1:43" s="6" customFormat="1" x14ac:dyDescent="0.2">
      <c r="A160" s="11" t="s">
        <v>60</v>
      </c>
      <c r="B160" s="14" t="s">
        <v>19</v>
      </c>
      <c r="C160" s="24" t="s">
        <v>35</v>
      </c>
      <c r="D160" s="25" t="s">
        <v>35</v>
      </c>
      <c r="E160" s="25" t="s">
        <v>35</v>
      </c>
      <c r="F160" s="25" t="s">
        <v>35</v>
      </c>
      <c r="G160" s="25" t="s">
        <v>35</v>
      </c>
      <c r="H160" s="25" t="s">
        <v>35</v>
      </c>
      <c r="I160" s="25" t="s">
        <v>35</v>
      </c>
      <c r="J160" s="25" t="s">
        <v>35</v>
      </c>
      <c r="K160" s="25" t="s">
        <v>35</v>
      </c>
      <c r="L160" s="25" t="s">
        <v>35</v>
      </c>
      <c r="M160" s="25" t="s">
        <v>35</v>
      </c>
      <c r="N160" s="25" t="s">
        <v>35</v>
      </c>
      <c r="O160" s="25" t="s">
        <v>35</v>
      </c>
      <c r="P160" s="25" t="s">
        <v>35</v>
      </c>
      <c r="Q160" s="25" t="s">
        <v>35</v>
      </c>
      <c r="R160" s="25" t="s">
        <v>35</v>
      </c>
      <c r="S160" s="25" t="s">
        <v>35</v>
      </c>
      <c r="T160" s="25" t="s">
        <v>35</v>
      </c>
      <c r="U160" s="25" t="s">
        <v>35</v>
      </c>
      <c r="V160" s="25" t="s">
        <v>35</v>
      </c>
      <c r="W160" s="25" t="s">
        <v>35</v>
      </c>
      <c r="X160" s="25" t="s">
        <v>35</v>
      </c>
      <c r="Y160" s="25" t="s">
        <v>35</v>
      </c>
      <c r="Z160" s="25" t="s">
        <v>35</v>
      </c>
      <c r="AA160" s="25" t="s">
        <v>35</v>
      </c>
      <c r="AB160" s="26">
        <f t="shared" si="129"/>
        <v>0</v>
      </c>
      <c r="AK160" s="44"/>
      <c r="AL160" s="44"/>
      <c r="AM160" s="25" t="s">
        <v>35</v>
      </c>
      <c r="AN160" s="25"/>
      <c r="AO160" s="25"/>
      <c r="AP160" s="25" t="s">
        <v>35</v>
      </c>
      <c r="AQ160" s="26" t="str">
        <f t="shared" si="130"/>
        <v>N/A</v>
      </c>
    </row>
    <row r="161" spans="1:43" s="6" customFormat="1" x14ac:dyDescent="0.2">
      <c r="A161" s="11" t="s">
        <v>61</v>
      </c>
      <c r="B161" s="14" t="s">
        <v>20</v>
      </c>
      <c r="C161" s="24" t="s">
        <v>35</v>
      </c>
      <c r="D161" s="25" t="s">
        <v>35</v>
      </c>
      <c r="E161" s="25" t="s">
        <v>35</v>
      </c>
      <c r="F161" s="25" t="s">
        <v>35</v>
      </c>
      <c r="G161" s="25" t="s">
        <v>35</v>
      </c>
      <c r="H161" s="25" t="s">
        <v>35</v>
      </c>
      <c r="I161" s="25" t="s">
        <v>35</v>
      </c>
      <c r="J161" s="25" t="s">
        <v>35</v>
      </c>
      <c r="K161" s="25" t="s">
        <v>35</v>
      </c>
      <c r="L161" s="25" t="s">
        <v>35</v>
      </c>
      <c r="M161" s="25" t="s">
        <v>35</v>
      </c>
      <c r="N161" s="25" t="s">
        <v>35</v>
      </c>
      <c r="O161" s="25" t="s">
        <v>35</v>
      </c>
      <c r="P161" s="25" t="s">
        <v>35</v>
      </c>
      <c r="Q161" s="25" t="s">
        <v>35</v>
      </c>
      <c r="R161" s="25" t="s">
        <v>35</v>
      </c>
      <c r="S161" s="25" t="s">
        <v>35</v>
      </c>
      <c r="T161" s="25" t="s">
        <v>35</v>
      </c>
      <c r="U161" s="25" t="s">
        <v>35</v>
      </c>
      <c r="V161" s="25" t="s">
        <v>35</v>
      </c>
      <c r="W161" s="25" t="s">
        <v>35</v>
      </c>
      <c r="X161" s="25" t="s">
        <v>35</v>
      </c>
      <c r="Y161" s="25" t="s">
        <v>35</v>
      </c>
      <c r="Z161" s="25" t="s">
        <v>35</v>
      </c>
      <c r="AA161" s="25" t="s">
        <v>35</v>
      </c>
      <c r="AB161" s="26">
        <f t="shared" si="129"/>
        <v>0</v>
      </c>
      <c r="AK161" s="44"/>
      <c r="AL161" s="44"/>
      <c r="AM161" s="25" t="s">
        <v>35</v>
      </c>
      <c r="AN161" s="25"/>
      <c r="AO161" s="25"/>
      <c r="AP161" s="25" t="s">
        <v>35</v>
      </c>
      <c r="AQ161" s="26" t="str">
        <f t="shared" si="130"/>
        <v>N/A</v>
      </c>
    </row>
    <row r="162" spans="1:43" s="6" customFormat="1" x14ac:dyDescent="0.2">
      <c r="A162" s="11" t="s">
        <v>62</v>
      </c>
      <c r="B162" s="14" t="s">
        <v>21</v>
      </c>
      <c r="C162" s="15">
        <f>SUM(AK162)+(AL162)</f>
        <v>876151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f>6000+9279025+8475000+214180+453106</f>
        <v>18427311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7">
        <f t="shared" si="129"/>
        <v>19303462</v>
      </c>
      <c r="AK162" s="39">
        <f>568448+104295</f>
        <v>672743</v>
      </c>
      <c r="AL162" s="39">
        <f>21540+181868</f>
        <v>203408</v>
      </c>
      <c r="AM162" s="16">
        <v>0</v>
      </c>
      <c r="AN162" s="16"/>
      <c r="AO162" s="16"/>
      <c r="AP162" s="16">
        <v>0</v>
      </c>
      <c r="AQ162" s="17">
        <f t="shared" si="130"/>
        <v>876151</v>
      </c>
    </row>
    <row r="163" spans="1:43" s="6" customFormat="1" x14ac:dyDescent="0.2">
      <c r="A163" s="36" t="s">
        <v>90</v>
      </c>
      <c r="B163" s="32"/>
      <c r="C163" s="33">
        <f t="shared" ref="C163:AB163" si="131">SUM(C157:C162)</f>
        <v>876151</v>
      </c>
      <c r="D163" s="34">
        <f t="shared" si="131"/>
        <v>0</v>
      </c>
      <c r="E163" s="34">
        <f>SUM(E157:E162)</f>
        <v>0</v>
      </c>
      <c r="F163" s="34">
        <f t="shared" si="131"/>
        <v>0</v>
      </c>
      <c r="G163" s="34">
        <f t="shared" si="131"/>
        <v>0</v>
      </c>
      <c r="H163" s="34">
        <f t="shared" ref="H163" si="132">SUM(H157:H162)</f>
        <v>0</v>
      </c>
      <c r="I163" s="34">
        <f t="shared" si="131"/>
        <v>0</v>
      </c>
      <c r="J163" s="34">
        <f t="shared" si="131"/>
        <v>0</v>
      </c>
      <c r="K163" s="34">
        <f t="shared" si="131"/>
        <v>0</v>
      </c>
      <c r="L163" s="34">
        <f t="shared" si="131"/>
        <v>0</v>
      </c>
      <c r="M163" s="34">
        <f t="shared" si="131"/>
        <v>18427311</v>
      </c>
      <c r="N163" s="34">
        <f t="shared" si="131"/>
        <v>0</v>
      </c>
      <c r="O163" s="34">
        <f t="shared" si="131"/>
        <v>0</v>
      </c>
      <c r="P163" s="34">
        <f t="shared" si="131"/>
        <v>0</v>
      </c>
      <c r="Q163" s="34">
        <f t="shared" si="131"/>
        <v>0</v>
      </c>
      <c r="R163" s="34">
        <f t="shared" si="131"/>
        <v>0</v>
      </c>
      <c r="S163" s="34">
        <f t="shared" si="131"/>
        <v>0</v>
      </c>
      <c r="T163" s="34">
        <f t="shared" si="131"/>
        <v>0</v>
      </c>
      <c r="U163" s="34">
        <f t="shared" si="131"/>
        <v>0</v>
      </c>
      <c r="V163" s="34">
        <f t="shared" si="131"/>
        <v>0</v>
      </c>
      <c r="W163" s="34">
        <f t="shared" si="131"/>
        <v>0</v>
      </c>
      <c r="X163" s="34">
        <f t="shared" si="131"/>
        <v>0</v>
      </c>
      <c r="Y163" s="34">
        <f t="shared" si="131"/>
        <v>0</v>
      </c>
      <c r="Z163" s="34">
        <f t="shared" si="131"/>
        <v>0</v>
      </c>
      <c r="AA163" s="34">
        <f t="shared" si="131"/>
        <v>0</v>
      </c>
      <c r="AB163" s="35">
        <f t="shared" si="131"/>
        <v>19303462</v>
      </c>
      <c r="AK163" s="33">
        <f t="shared" ref="AK163:AP163" si="133">SUM(AK157:AK162)</f>
        <v>672743</v>
      </c>
      <c r="AL163" s="33">
        <f t="shared" si="133"/>
        <v>203408</v>
      </c>
      <c r="AM163" s="34">
        <f t="shared" si="133"/>
        <v>0</v>
      </c>
      <c r="AN163" s="34">
        <f t="shared" si="133"/>
        <v>4000</v>
      </c>
      <c r="AO163" s="34">
        <f t="shared" si="133"/>
        <v>0</v>
      </c>
      <c r="AP163" s="34">
        <f t="shared" si="133"/>
        <v>0</v>
      </c>
      <c r="AQ163" s="35">
        <f t="shared" ref="AQ163" si="134">SUM(AQ157:AQ162)</f>
        <v>876151</v>
      </c>
    </row>
    <row r="164" spans="1:43" s="6" customFormat="1" ht="1.9" customHeight="1" x14ac:dyDescent="0.2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17"/>
      <c r="AK164" s="42"/>
      <c r="AL164" s="42"/>
      <c r="AM164" s="22"/>
      <c r="AN164" s="22"/>
      <c r="AO164" s="22"/>
      <c r="AP164" s="22"/>
      <c r="AQ164" s="17"/>
    </row>
    <row r="165" spans="1:43" s="6" customFormat="1" x14ac:dyDescent="0.2">
      <c r="A165" s="31" t="s">
        <v>95</v>
      </c>
      <c r="B165" s="32"/>
      <c r="C165" s="33">
        <f t="shared" ref="C165:AB165" si="135">SUM(C145+C28+C163+C154)</f>
        <v>181937455</v>
      </c>
      <c r="D165" s="34">
        <f t="shared" si="135"/>
        <v>3400000</v>
      </c>
      <c r="E165" s="34">
        <f t="shared" si="135"/>
        <v>12944801</v>
      </c>
      <c r="F165" s="34">
        <f t="shared" si="135"/>
        <v>43650186</v>
      </c>
      <c r="G165" s="34">
        <f t="shared" si="135"/>
        <v>0</v>
      </c>
      <c r="H165" s="34">
        <f t="shared" ref="H165" si="136">SUM(H145+H28+H163+H154)</f>
        <v>0</v>
      </c>
      <c r="I165" s="34">
        <f t="shared" si="135"/>
        <v>4669804</v>
      </c>
      <c r="J165" s="34">
        <f t="shared" si="135"/>
        <v>0</v>
      </c>
      <c r="K165" s="34">
        <f t="shared" si="135"/>
        <v>0</v>
      </c>
      <c r="L165" s="34">
        <f t="shared" si="135"/>
        <v>339261</v>
      </c>
      <c r="M165" s="34">
        <f t="shared" si="135"/>
        <v>18427311</v>
      </c>
      <c r="N165" s="34">
        <f t="shared" si="135"/>
        <v>0</v>
      </c>
      <c r="O165" s="34">
        <f t="shared" si="135"/>
        <v>21269478</v>
      </c>
      <c r="P165" s="34">
        <f t="shared" si="135"/>
        <v>0</v>
      </c>
      <c r="Q165" s="34">
        <f t="shared" si="135"/>
        <v>25870528</v>
      </c>
      <c r="R165" s="34">
        <f t="shared" si="135"/>
        <v>0</v>
      </c>
      <c r="S165" s="34">
        <f t="shared" si="135"/>
        <v>0</v>
      </c>
      <c r="T165" s="34">
        <f t="shared" si="135"/>
        <v>0</v>
      </c>
      <c r="U165" s="34">
        <f t="shared" si="135"/>
        <v>1816000</v>
      </c>
      <c r="V165" s="34">
        <f t="shared" si="135"/>
        <v>0</v>
      </c>
      <c r="W165" s="34">
        <f t="shared" si="135"/>
        <v>0</v>
      </c>
      <c r="X165" s="34">
        <f t="shared" si="135"/>
        <v>0</v>
      </c>
      <c r="Y165" s="34">
        <f t="shared" si="135"/>
        <v>0</v>
      </c>
      <c r="Z165" s="34">
        <f t="shared" si="135"/>
        <v>0</v>
      </c>
      <c r="AA165" s="34">
        <f t="shared" si="135"/>
        <v>0</v>
      </c>
      <c r="AB165" s="35">
        <f t="shared" si="135"/>
        <v>314324824</v>
      </c>
      <c r="AK165" s="33">
        <f t="shared" ref="AK165:AP165" si="137">SUM(AK145+AK28+AK163+AK154)</f>
        <v>178291791</v>
      </c>
      <c r="AL165" s="33">
        <f t="shared" si="137"/>
        <v>3645664</v>
      </c>
      <c r="AM165" s="34">
        <f t="shared" si="137"/>
        <v>13434148</v>
      </c>
      <c r="AN165" s="34">
        <f t="shared" si="137"/>
        <v>13438148</v>
      </c>
      <c r="AO165" s="34">
        <f t="shared" si="137"/>
        <v>0</v>
      </c>
      <c r="AP165" s="34">
        <f t="shared" si="137"/>
        <v>4698490</v>
      </c>
      <c r="AQ165" s="35">
        <f t="shared" ref="AQ165" si="138">SUM(AQ145+AQ28+AQ163+AQ154)</f>
        <v>184007109</v>
      </c>
    </row>
    <row r="166" spans="1:43" s="6" customFormat="1" ht="1.9" customHeight="1" x14ac:dyDescent="0.2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17"/>
      <c r="AK166" s="42"/>
      <c r="AL166" s="42"/>
      <c r="AM166" s="22"/>
      <c r="AN166" s="22"/>
      <c r="AO166" s="22"/>
      <c r="AP166" s="22"/>
      <c r="AQ166" s="17"/>
    </row>
    <row r="167" spans="1:43" s="6" customFormat="1" x14ac:dyDescent="0.2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17"/>
      <c r="AK167" s="42"/>
      <c r="AL167" s="42"/>
      <c r="AM167" s="22"/>
      <c r="AN167" s="22"/>
      <c r="AO167" s="22"/>
      <c r="AP167" s="22"/>
      <c r="AQ167" s="17"/>
    </row>
    <row r="168" spans="1:43" s="6" customFormat="1" x14ac:dyDescent="0.2">
      <c r="A168" s="12" t="s">
        <v>104</v>
      </c>
      <c r="B168" s="1" t="s">
        <v>34</v>
      </c>
      <c r="C168" s="15">
        <f t="shared" ref="C168:C173" si="139">+AK168+AL168</f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7">
        <f t="shared" ref="AB168:AB173" si="140">SUM(C168:AA168)</f>
        <v>0</v>
      </c>
      <c r="AK168" s="39"/>
      <c r="AL168" s="39"/>
      <c r="AM168" s="16">
        <f t="shared" ref="AM168:AM173" si="141">AN168+AO168</f>
        <v>0</v>
      </c>
      <c r="AN168" s="16"/>
      <c r="AO168" s="16"/>
      <c r="AP168" s="16">
        <v>0</v>
      </c>
      <c r="AQ168" s="17">
        <f>C168</f>
        <v>0</v>
      </c>
    </row>
    <row r="169" spans="1:43" s="6" customFormat="1" x14ac:dyDescent="0.2">
      <c r="A169" s="12" t="s">
        <v>105</v>
      </c>
      <c r="B169" s="1" t="s">
        <v>34</v>
      </c>
      <c r="C169" s="15">
        <f t="shared" si="139"/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7">
        <f t="shared" si="140"/>
        <v>0</v>
      </c>
      <c r="AK169" s="39"/>
      <c r="AL169" s="39"/>
      <c r="AM169" s="16">
        <f t="shared" si="141"/>
        <v>0</v>
      </c>
      <c r="AN169" s="16"/>
      <c r="AO169" s="16"/>
      <c r="AP169" s="16">
        <v>0</v>
      </c>
      <c r="AQ169" s="17">
        <f>C169</f>
        <v>0</v>
      </c>
    </row>
    <row r="170" spans="1:43" s="6" customFormat="1" x14ac:dyDescent="0.2">
      <c r="A170" s="12" t="s">
        <v>106</v>
      </c>
      <c r="B170" s="1" t="s">
        <v>34</v>
      </c>
      <c r="C170" s="15">
        <f t="shared" si="139"/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7">
        <f t="shared" si="140"/>
        <v>0</v>
      </c>
      <c r="AK170" s="39"/>
      <c r="AL170" s="39"/>
      <c r="AM170" s="16">
        <f t="shared" si="141"/>
        <v>0</v>
      </c>
      <c r="AN170" s="16"/>
      <c r="AO170" s="16"/>
      <c r="AP170" s="16">
        <v>1284117</v>
      </c>
      <c r="AQ170" s="17">
        <f>C170</f>
        <v>0</v>
      </c>
    </row>
    <row r="171" spans="1:43" s="6" customFormat="1" x14ac:dyDescent="0.2">
      <c r="A171" s="12" t="s">
        <v>107</v>
      </c>
      <c r="B171" s="1" t="s">
        <v>34</v>
      </c>
      <c r="C171" s="15">
        <f t="shared" si="139"/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7">
        <f t="shared" si="140"/>
        <v>0</v>
      </c>
      <c r="AK171" s="39"/>
      <c r="AL171" s="39"/>
      <c r="AM171" s="16">
        <f t="shared" si="141"/>
        <v>0</v>
      </c>
      <c r="AN171" s="16"/>
      <c r="AO171" s="16"/>
      <c r="AP171" s="16">
        <v>0</v>
      </c>
      <c r="AQ171" s="17">
        <f>C171</f>
        <v>0</v>
      </c>
    </row>
    <row r="172" spans="1:43" s="6" customFormat="1" x14ac:dyDescent="0.2">
      <c r="A172" s="12" t="s">
        <v>108</v>
      </c>
      <c r="B172" s="1" t="s">
        <v>34</v>
      </c>
      <c r="C172" s="15">
        <f t="shared" si="139"/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7">
        <f t="shared" si="140"/>
        <v>0</v>
      </c>
      <c r="AK172" s="39"/>
      <c r="AL172" s="39"/>
      <c r="AM172" s="16">
        <f t="shared" si="141"/>
        <v>0</v>
      </c>
      <c r="AN172" s="16"/>
      <c r="AO172" s="16"/>
      <c r="AP172" s="16">
        <v>0</v>
      </c>
      <c r="AQ172" s="17">
        <f>C172</f>
        <v>0</v>
      </c>
    </row>
    <row r="173" spans="1:43" s="6" customFormat="1" ht="25.5" x14ac:dyDescent="0.2">
      <c r="A173" s="12" t="s">
        <v>109</v>
      </c>
      <c r="B173" s="1" t="s">
        <v>34</v>
      </c>
      <c r="C173" s="15">
        <f t="shared" si="139"/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7">
        <f t="shared" si="140"/>
        <v>0</v>
      </c>
      <c r="AK173" s="39"/>
      <c r="AL173" s="39"/>
      <c r="AM173" s="16">
        <f t="shared" si="141"/>
        <v>0</v>
      </c>
      <c r="AN173" s="16"/>
      <c r="AO173" s="16"/>
      <c r="AP173" s="16">
        <v>0</v>
      </c>
      <c r="AQ173" s="17">
        <f>SUM(D173:AB173)</f>
        <v>0</v>
      </c>
    </row>
    <row r="174" spans="1:43" s="6" customFormat="1" x14ac:dyDescent="0.2">
      <c r="A174" s="31" t="s">
        <v>110</v>
      </c>
      <c r="B174" s="32"/>
      <c r="C174" s="33">
        <f>SUM(C168:C173)</f>
        <v>0</v>
      </c>
      <c r="D174" s="34">
        <f t="shared" ref="D174:AB174" si="142">SUM(D168:D173)</f>
        <v>0</v>
      </c>
      <c r="E174" s="34">
        <f t="shared" si="142"/>
        <v>0</v>
      </c>
      <c r="F174" s="34">
        <f t="shared" si="142"/>
        <v>0</v>
      </c>
      <c r="G174" s="34">
        <f t="shared" si="142"/>
        <v>0</v>
      </c>
      <c r="H174" s="34">
        <f t="shared" ref="H174" si="143">SUM(H168:H173)</f>
        <v>0</v>
      </c>
      <c r="I174" s="34">
        <f t="shared" si="142"/>
        <v>0</v>
      </c>
      <c r="J174" s="34">
        <f t="shared" si="142"/>
        <v>0</v>
      </c>
      <c r="K174" s="34">
        <f t="shared" si="142"/>
        <v>0</v>
      </c>
      <c r="L174" s="34">
        <f t="shared" si="142"/>
        <v>0</v>
      </c>
      <c r="M174" s="34">
        <f t="shared" si="142"/>
        <v>0</v>
      </c>
      <c r="N174" s="34">
        <f t="shared" si="142"/>
        <v>0</v>
      </c>
      <c r="O174" s="34">
        <f t="shared" si="142"/>
        <v>0</v>
      </c>
      <c r="P174" s="34">
        <f t="shared" si="142"/>
        <v>0</v>
      </c>
      <c r="Q174" s="34">
        <f t="shared" si="142"/>
        <v>0</v>
      </c>
      <c r="R174" s="34">
        <f t="shared" si="142"/>
        <v>0</v>
      </c>
      <c r="S174" s="34">
        <f t="shared" si="142"/>
        <v>0</v>
      </c>
      <c r="T174" s="34">
        <f t="shared" si="142"/>
        <v>0</v>
      </c>
      <c r="U174" s="34">
        <f t="shared" si="142"/>
        <v>0</v>
      </c>
      <c r="V174" s="34">
        <f t="shared" si="142"/>
        <v>0</v>
      </c>
      <c r="W174" s="34">
        <f t="shared" si="142"/>
        <v>0</v>
      </c>
      <c r="X174" s="34">
        <f t="shared" si="142"/>
        <v>0</v>
      </c>
      <c r="Y174" s="34">
        <f t="shared" si="142"/>
        <v>0</v>
      </c>
      <c r="Z174" s="34">
        <f t="shared" si="142"/>
        <v>0</v>
      </c>
      <c r="AA174" s="34">
        <f t="shared" si="142"/>
        <v>0</v>
      </c>
      <c r="AB174" s="35">
        <f t="shared" si="142"/>
        <v>0</v>
      </c>
      <c r="AK174" s="41"/>
      <c r="AL174" s="41"/>
      <c r="AM174" s="34">
        <f>SUM(AM168:AM173)</f>
        <v>0</v>
      </c>
      <c r="AN174" s="34">
        <f>SUM(AN168:AN173)</f>
        <v>0</v>
      </c>
      <c r="AO174" s="34">
        <f>SUM(AO168:AO173)</f>
        <v>0</v>
      </c>
      <c r="AP174" s="34">
        <f>SUM(AP168:AP173)</f>
        <v>1284117</v>
      </c>
      <c r="AQ174" s="35">
        <f t="shared" ref="AQ174" si="144">SUM(AQ168:AQ173)</f>
        <v>0</v>
      </c>
    </row>
    <row r="175" spans="1:43" s="6" customFormat="1" ht="1.9" customHeight="1" x14ac:dyDescent="0.2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17"/>
      <c r="AK175" s="42"/>
      <c r="AL175" s="42"/>
      <c r="AM175" s="22"/>
      <c r="AN175" s="22"/>
      <c r="AO175" s="22"/>
      <c r="AP175" s="22"/>
      <c r="AQ175" s="17"/>
    </row>
    <row r="176" spans="1:43" s="6" customFormat="1" x14ac:dyDescent="0.2">
      <c r="A176" s="31" t="s">
        <v>96</v>
      </c>
      <c r="B176" s="32"/>
      <c r="C176" s="33">
        <f t="shared" ref="C176:AB176" si="145">C165+C174</f>
        <v>181937455</v>
      </c>
      <c r="D176" s="34">
        <f t="shared" si="145"/>
        <v>3400000</v>
      </c>
      <c r="E176" s="34">
        <f t="shared" si="145"/>
        <v>12944801</v>
      </c>
      <c r="F176" s="34">
        <f t="shared" si="145"/>
        <v>43650186</v>
      </c>
      <c r="G176" s="34">
        <f t="shared" si="145"/>
        <v>0</v>
      </c>
      <c r="H176" s="34">
        <f t="shared" ref="H176" si="146">H165+H174</f>
        <v>0</v>
      </c>
      <c r="I176" s="34">
        <f t="shared" si="145"/>
        <v>4669804</v>
      </c>
      <c r="J176" s="34">
        <f t="shared" si="145"/>
        <v>0</v>
      </c>
      <c r="K176" s="34">
        <f t="shared" si="145"/>
        <v>0</v>
      </c>
      <c r="L176" s="34">
        <f t="shared" si="145"/>
        <v>339261</v>
      </c>
      <c r="M176" s="34">
        <f t="shared" si="145"/>
        <v>18427311</v>
      </c>
      <c r="N176" s="34">
        <f t="shared" si="145"/>
        <v>0</v>
      </c>
      <c r="O176" s="34">
        <f t="shared" si="145"/>
        <v>21269478</v>
      </c>
      <c r="P176" s="34">
        <f t="shared" si="145"/>
        <v>0</v>
      </c>
      <c r="Q176" s="34">
        <f t="shared" si="145"/>
        <v>25870528</v>
      </c>
      <c r="R176" s="34">
        <f t="shared" si="145"/>
        <v>0</v>
      </c>
      <c r="S176" s="34">
        <f t="shared" si="145"/>
        <v>0</v>
      </c>
      <c r="T176" s="34">
        <f t="shared" si="145"/>
        <v>0</v>
      </c>
      <c r="U176" s="34">
        <f t="shared" si="145"/>
        <v>1816000</v>
      </c>
      <c r="V176" s="34">
        <f t="shared" si="145"/>
        <v>0</v>
      </c>
      <c r="W176" s="34">
        <f t="shared" si="145"/>
        <v>0</v>
      </c>
      <c r="X176" s="34">
        <f t="shared" si="145"/>
        <v>0</v>
      </c>
      <c r="Y176" s="34">
        <f t="shared" si="145"/>
        <v>0</v>
      </c>
      <c r="Z176" s="34">
        <f t="shared" si="145"/>
        <v>0</v>
      </c>
      <c r="AA176" s="34">
        <f t="shared" si="145"/>
        <v>0</v>
      </c>
      <c r="AB176" s="35">
        <f t="shared" si="145"/>
        <v>314324824</v>
      </c>
      <c r="AK176" s="33">
        <f t="shared" ref="AK176:AP176" si="147">AK165+AK174</f>
        <v>178291791</v>
      </c>
      <c r="AL176" s="33">
        <f t="shared" si="147"/>
        <v>3645664</v>
      </c>
      <c r="AM176" s="34">
        <f t="shared" si="147"/>
        <v>13434148</v>
      </c>
      <c r="AN176" s="34">
        <f t="shared" si="147"/>
        <v>13438148</v>
      </c>
      <c r="AO176" s="34">
        <f t="shared" si="147"/>
        <v>0</v>
      </c>
      <c r="AP176" s="34">
        <f t="shared" si="147"/>
        <v>5982607</v>
      </c>
      <c r="AQ176" s="35">
        <f t="shared" ref="AQ176" si="148">AQ165+AQ174</f>
        <v>184007109</v>
      </c>
    </row>
    <row r="177" spans="1:43" s="6" customFormat="1" ht="1.9" customHeight="1" x14ac:dyDescent="0.2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17"/>
      <c r="AK177" s="42"/>
      <c r="AL177" s="42"/>
      <c r="AM177" s="22"/>
      <c r="AN177" s="22"/>
      <c r="AO177" s="22"/>
      <c r="AP177" s="22"/>
      <c r="AQ177" s="17"/>
    </row>
    <row r="178" spans="1:43" s="6" customFormat="1" x14ac:dyDescent="0.2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17"/>
      <c r="AK178" s="42"/>
      <c r="AL178" s="42"/>
      <c r="AM178" s="22"/>
      <c r="AN178" s="22"/>
      <c r="AO178" s="22"/>
      <c r="AP178" s="22"/>
      <c r="AQ178" s="17"/>
    </row>
    <row r="179" spans="1:43" s="6" customFormat="1" x14ac:dyDescent="0.2">
      <c r="A179" s="12" t="s">
        <v>63</v>
      </c>
      <c r="B179" s="1" t="s">
        <v>41</v>
      </c>
      <c r="C179" s="15">
        <f t="shared" ref="C179:C194" si="149">SUM(AK179)+(AL179)</f>
        <v>3072494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7">
        <f t="shared" ref="AB179:AB194" si="150">SUM(C179:AA179)</f>
        <v>3072494</v>
      </c>
      <c r="AK179" s="39">
        <v>3072494</v>
      </c>
      <c r="AL179" s="39"/>
      <c r="AM179" s="16">
        <f t="shared" ref="AM179:AM194" si="151">AN179+AO179</f>
        <v>0</v>
      </c>
      <c r="AN179" s="16"/>
      <c r="AO179" s="16"/>
      <c r="AP179" s="16">
        <v>0</v>
      </c>
      <c r="AQ179" s="17">
        <f t="shared" ref="AQ179:AQ194" si="152">C179</f>
        <v>3072494</v>
      </c>
    </row>
    <row r="180" spans="1:43" s="6" customFormat="1" x14ac:dyDescent="0.2">
      <c r="A180" s="12" t="s">
        <v>138</v>
      </c>
      <c r="B180" s="1" t="s">
        <v>42</v>
      </c>
      <c r="C180" s="15">
        <f t="shared" si="149"/>
        <v>559575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18745224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7">
        <f t="shared" si="150"/>
        <v>19304799</v>
      </c>
      <c r="AK180" s="39">
        <v>559575</v>
      </c>
      <c r="AL180" s="39"/>
      <c r="AM180" s="16">
        <f t="shared" si="151"/>
        <v>0</v>
      </c>
      <c r="AN180" s="16"/>
      <c r="AO180" s="16"/>
      <c r="AP180" s="16">
        <v>0</v>
      </c>
      <c r="AQ180" s="17">
        <f t="shared" si="152"/>
        <v>559575</v>
      </c>
    </row>
    <row r="181" spans="1:43" s="6" customFormat="1" x14ac:dyDescent="0.2">
      <c r="A181" s="12" t="s">
        <v>64</v>
      </c>
      <c r="B181" s="1" t="s">
        <v>43</v>
      </c>
      <c r="C181" s="15">
        <f t="shared" si="149"/>
        <v>6000000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7">
        <f t="shared" si="150"/>
        <v>6000000</v>
      </c>
      <c r="AK181" s="39">
        <v>6000000</v>
      </c>
      <c r="AL181" s="39"/>
      <c r="AM181" s="16">
        <f t="shared" si="151"/>
        <v>397900</v>
      </c>
      <c r="AN181" s="16">
        <v>397900</v>
      </c>
      <c r="AO181" s="16"/>
      <c r="AP181" s="16">
        <v>0</v>
      </c>
      <c r="AQ181" s="17">
        <f t="shared" si="152"/>
        <v>6000000</v>
      </c>
    </row>
    <row r="182" spans="1:43" s="6" customFormat="1" x14ac:dyDescent="0.2">
      <c r="A182" s="12" t="s">
        <v>65</v>
      </c>
      <c r="B182" s="1" t="s">
        <v>44</v>
      </c>
      <c r="C182" s="15">
        <f t="shared" si="149"/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7">
        <f t="shared" si="150"/>
        <v>0</v>
      </c>
      <c r="AK182" s="39"/>
      <c r="AL182" s="39"/>
      <c r="AM182" s="16">
        <f t="shared" si="151"/>
        <v>0</v>
      </c>
      <c r="AN182" s="16"/>
      <c r="AO182" s="16"/>
      <c r="AP182" s="16">
        <v>0</v>
      </c>
      <c r="AQ182" s="17">
        <f t="shared" si="152"/>
        <v>0</v>
      </c>
    </row>
    <row r="183" spans="1:43" s="6" customFormat="1" ht="25.5" x14ac:dyDescent="0.2">
      <c r="A183" s="12" t="s">
        <v>66</v>
      </c>
      <c r="B183" s="1" t="s">
        <v>45</v>
      </c>
      <c r="C183" s="15">
        <f t="shared" si="149"/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7">
        <f t="shared" si="150"/>
        <v>0</v>
      </c>
      <c r="AK183" s="39"/>
      <c r="AL183" s="39"/>
      <c r="AM183" s="16">
        <f t="shared" si="151"/>
        <v>0</v>
      </c>
      <c r="AN183" s="16"/>
      <c r="AO183" s="16"/>
      <c r="AP183" s="16">
        <v>0</v>
      </c>
      <c r="AQ183" s="17">
        <f t="shared" si="152"/>
        <v>0</v>
      </c>
    </row>
    <row r="184" spans="1:43" s="6" customFormat="1" x14ac:dyDescent="0.2">
      <c r="A184" s="12" t="s">
        <v>67</v>
      </c>
      <c r="B184" s="1" t="s">
        <v>46</v>
      </c>
      <c r="C184" s="15">
        <f t="shared" si="149"/>
        <v>2853804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7">
        <f t="shared" si="150"/>
        <v>2853804</v>
      </c>
      <c r="AK184" s="39">
        <v>2853804</v>
      </c>
      <c r="AL184" s="39"/>
      <c r="AM184" s="16">
        <f t="shared" si="151"/>
        <v>0</v>
      </c>
      <c r="AN184" s="16"/>
      <c r="AO184" s="16"/>
      <c r="AP184" s="16">
        <v>0</v>
      </c>
      <c r="AQ184" s="17">
        <f t="shared" si="152"/>
        <v>2853804</v>
      </c>
    </row>
    <row r="185" spans="1:43" s="6" customFormat="1" ht="25.5" x14ac:dyDescent="0.2">
      <c r="A185" s="12" t="s">
        <v>68</v>
      </c>
      <c r="B185" s="1" t="s">
        <v>47</v>
      </c>
      <c r="C185" s="15">
        <f t="shared" si="149"/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7">
        <f t="shared" si="150"/>
        <v>0</v>
      </c>
      <c r="AK185" s="39"/>
      <c r="AL185" s="39"/>
      <c r="AM185" s="16">
        <f t="shared" si="151"/>
        <v>0</v>
      </c>
      <c r="AN185" s="16"/>
      <c r="AO185" s="16"/>
      <c r="AP185" s="16">
        <v>0</v>
      </c>
      <c r="AQ185" s="17">
        <f t="shared" si="152"/>
        <v>0</v>
      </c>
    </row>
    <row r="186" spans="1:43" s="6" customFormat="1" x14ac:dyDescent="0.2">
      <c r="A186" s="12" t="s">
        <v>69</v>
      </c>
      <c r="B186" s="1" t="s">
        <v>48</v>
      </c>
      <c r="C186" s="15">
        <f t="shared" si="149"/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7">
        <f t="shared" si="150"/>
        <v>0</v>
      </c>
      <c r="AK186" s="39"/>
      <c r="AL186" s="39"/>
      <c r="AM186" s="16">
        <f t="shared" si="151"/>
        <v>0</v>
      </c>
      <c r="AN186" s="16"/>
      <c r="AO186" s="16"/>
      <c r="AP186" s="16">
        <v>0</v>
      </c>
      <c r="AQ186" s="17">
        <f t="shared" si="152"/>
        <v>0</v>
      </c>
    </row>
    <row r="187" spans="1:43" s="6" customFormat="1" x14ac:dyDescent="0.2">
      <c r="A187" s="12" t="s">
        <v>113</v>
      </c>
      <c r="B187" s="1" t="s">
        <v>112</v>
      </c>
      <c r="C187" s="15">
        <f t="shared" si="149"/>
        <v>0</v>
      </c>
      <c r="D187" s="16">
        <v>0</v>
      </c>
      <c r="E187" s="16">
        <v>7961845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7">
        <f t="shared" si="150"/>
        <v>7961845</v>
      </c>
      <c r="AK187" s="39"/>
      <c r="AL187" s="39"/>
      <c r="AM187" s="16">
        <f t="shared" si="151"/>
        <v>0</v>
      </c>
      <c r="AN187" s="16"/>
      <c r="AO187" s="16"/>
      <c r="AP187" s="16">
        <v>0</v>
      </c>
      <c r="AQ187" s="17">
        <f t="shared" si="152"/>
        <v>0</v>
      </c>
    </row>
    <row r="188" spans="1:43" s="6" customFormat="1" x14ac:dyDescent="0.2">
      <c r="A188" s="12" t="s">
        <v>70</v>
      </c>
      <c r="B188" s="1" t="s">
        <v>49</v>
      </c>
      <c r="C188" s="15">
        <f t="shared" si="149"/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541362</v>
      </c>
      <c r="J188" s="16">
        <v>0</v>
      </c>
      <c r="K188" s="16">
        <v>0</v>
      </c>
      <c r="L188" s="16">
        <v>19769</v>
      </c>
      <c r="M188" s="16">
        <v>0</v>
      </c>
      <c r="N188" s="16">
        <v>0</v>
      </c>
      <c r="O188" s="16">
        <v>7035601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7">
        <f t="shared" si="150"/>
        <v>7596732</v>
      </c>
      <c r="AK188" s="39"/>
      <c r="AL188" s="39"/>
      <c r="AM188" s="16">
        <f t="shared" si="151"/>
        <v>0</v>
      </c>
      <c r="AN188" s="16"/>
      <c r="AO188" s="16"/>
      <c r="AP188" s="16">
        <v>0</v>
      </c>
      <c r="AQ188" s="17">
        <f t="shared" si="152"/>
        <v>0</v>
      </c>
    </row>
    <row r="189" spans="1:43" s="6" customFormat="1" x14ac:dyDescent="0.2">
      <c r="A189" s="12" t="s">
        <v>71</v>
      </c>
      <c r="B189" s="1" t="s">
        <v>49</v>
      </c>
      <c r="C189" s="15">
        <f t="shared" si="149"/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7">
        <f t="shared" si="150"/>
        <v>0</v>
      </c>
      <c r="AK189" s="39"/>
      <c r="AL189" s="39"/>
      <c r="AM189" s="16">
        <f t="shared" si="151"/>
        <v>0</v>
      </c>
      <c r="AN189" s="16"/>
      <c r="AO189" s="16"/>
      <c r="AP189" s="16">
        <v>0</v>
      </c>
      <c r="AQ189" s="17">
        <f t="shared" si="152"/>
        <v>0</v>
      </c>
    </row>
    <row r="190" spans="1:43" s="6" customFormat="1" x14ac:dyDescent="0.2">
      <c r="A190" s="12" t="s">
        <v>72</v>
      </c>
      <c r="B190" s="1" t="s">
        <v>50</v>
      </c>
      <c r="C190" s="15">
        <f t="shared" si="149"/>
        <v>10355444</v>
      </c>
      <c r="D190" s="16">
        <v>1591341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22782971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7">
        <f t="shared" si="150"/>
        <v>34729756</v>
      </c>
      <c r="AK190" s="39">
        <f>9746200+320324</f>
        <v>10066524</v>
      </c>
      <c r="AL190" s="39">
        <f>281963+6957</f>
        <v>288920</v>
      </c>
      <c r="AM190" s="16">
        <f t="shared" si="151"/>
        <v>0</v>
      </c>
      <c r="AN190" s="16"/>
      <c r="AO190" s="16"/>
      <c r="AP190" s="16">
        <v>0</v>
      </c>
      <c r="AQ190" s="17">
        <f t="shared" si="152"/>
        <v>10355444</v>
      </c>
    </row>
    <row r="191" spans="1:43" s="6" customFormat="1" x14ac:dyDescent="0.2">
      <c r="A191" s="12" t="s">
        <v>73</v>
      </c>
      <c r="B191" s="1" t="s">
        <v>51</v>
      </c>
      <c r="C191" s="15">
        <f t="shared" si="149"/>
        <v>-2643342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7">
        <f t="shared" si="150"/>
        <v>-2643342</v>
      </c>
      <c r="AK191" s="39">
        <v>-2643342</v>
      </c>
      <c r="AL191" s="39"/>
      <c r="AM191" s="16">
        <f t="shared" si="151"/>
        <v>397422</v>
      </c>
      <c r="AN191" s="16">
        <v>397422</v>
      </c>
      <c r="AO191" s="16"/>
      <c r="AP191" s="16">
        <v>0</v>
      </c>
      <c r="AQ191" s="17">
        <f t="shared" si="152"/>
        <v>-2643342</v>
      </c>
    </row>
    <row r="192" spans="1:43" s="6" customFormat="1" x14ac:dyDescent="0.2">
      <c r="A192" s="12" t="s">
        <v>74</v>
      </c>
      <c r="B192" s="1" t="s">
        <v>53</v>
      </c>
      <c r="C192" s="15">
        <f t="shared" si="149"/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7">
        <f t="shared" si="150"/>
        <v>0</v>
      </c>
      <c r="AK192" s="39"/>
      <c r="AL192" s="39"/>
      <c r="AM192" s="16">
        <f t="shared" si="151"/>
        <v>0</v>
      </c>
      <c r="AN192" s="16"/>
      <c r="AO192" s="16"/>
      <c r="AP192" s="16">
        <v>0</v>
      </c>
      <c r="AQ192" s="17">
        <f t="shared" si="152"/>
        <v>0</v>
      </c>
    </row>
    <row r="193" spans="1:43" s="6" customFormat="1" x14ac:dyDescent="0.2">
      <c r="A193" s="12" t="s">
        <v>75</v>
      </c>
      <c r="B193" s="1" t="s">
        <v>54</v>
      </c>
      <c r="C193" s="15">
        <f t="shared" si="149"/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7">
        <f t="shared" si="150"/>
        <v>0</v>
      </c>
      <c r="AK193" s="39"/>
      <c r="AL193" s="39"/>
      <c r="AM193" s="16">
        <f t="shared" si="151"/>
        <v>0</v>
      </c>
      <c r="AN193" s="16"/>
      <c r="AO193" s="16"/>
      <c r="AP193" s="16">
        <v>0</v>
      </c>
      <c r="AQ193" s="17">
        <f t="shared" si="152"/>
        <v>0</v>
      </c>
    </row>
    <row r="194" spans="1:43" s="6" customFormat="1" x14ac:dyDescent="0.2">
      <c r="A194" s="12" t="s">
        <v>76</v>
      </c>
      <c r="B194" s="1" t="s">
        <v>55</v>
      </c>
      <c r="C194" s="15">
        <f t="shared" si="149"/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2074961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7">
        <f t="shared" si="150"/>
        <v>2074961</v>
      </c>
      <c r="AK194" s="39"/>
      <c r="AL194" s="39"/>
      <c r="AM194" s="16">
        <f t="shared" si="151"/>
        <v>0</v>
      </c>
      <c r="AN194" s="16"/>
      <c r="AO194" s="16"/>
      <c r="AP194" s="16">
        <v>0</v>
      </c>
      <c r="AQ194" s="17">
        <f t="shared" si="152"/>
        <v>0</v>
      </c>
    </row>
    <row r="195" spans="1:43" s="6" customFormat="1" x14ac:dyDescent="0.2">
      <c r="A195" s="31" t="s">
        <v>97</v>
      </c>
      <c r="B195" s="32"/>
      <c r="C195" s="33">
        <f t="shared" ref="C195:AB195" si="153">SUM(C179:C194)</f>
        <v>20197975</v>
      </c>
      <c r="D195" s="34">
        <f t="shared" si="153"/>
        <v>1591341</v>
      </c>
      <c r="E195" s="34">
        <f t="shared" si="153"/>
        <v>7961845</v>
      </c>
      <c r="F195" s="34">
        <f t="shared" si="153"/>
        <v>0</v>
      </c>
      <c r="G195" s="34">
        <f t="shared" si="153"/>
        <v>0</v>
      </c>
      <c r="H195" s="34">
        <f t="shared" si="153"/>
        <v>0</v>
      </c>
      <c r="I195" s="34">
        <f t="shared" si="153"/>
        <v>541362</v>
      </c>
      <c r="J195" s="34">
        <f t="shared" si="153"/>
        <v>0</v>
      </c>
      <c r="K195" s="34">
        <f t="shared" si="153"/>
        <v>0</v>
      </c>
      <c r="L195" s="34">
        <f t="shared" si="153"/>
        <v>19769</v>
      </c>
      <c r="M195" s="34">
        <f t="shared" si="153"/>
        <v>18745224</v>
      </c>
      <c r="N195" s="34">
        <f t="shared" si="153"/>
        <v>0</v>
      </c>
      <c r="O195" s="34">
        <f t="shared" si="153"/>
        <v>7035601</v>
      </c>
      <c r="P195" s="34">
        <f t="shared" si="153"/>
        <v>0</v>
      </c>
      <c r="Q195" s="34">
        <f t="shared" si="153"/>
        <v>22782971</v>
      </c>
      <c r="R195" s="34">
        <f t="shared" si="153"/>
        <v>0</v>
      </c>
      <c r="S195" s="34">
        <f t="shared" si="153"/>
        <v>0</v>
      </c>
      <c r="T195" s="34">
        <f t="shared" si="153"/>
        <v>0</v>
      </c>
      <c r="U195" s="34">
        <f t="shared" si="153"/>
        <v>2074961</v>
      </c>
      <c r="V195" s="34">
        <f t="shared" si="153"/>
        <v>0</v>
      </c>
      <c r="W195" s="34">
        <f t="shared" si="153"/>
        <v>0</v>
      </c>
      <c r="X195" s="34">
        <f t="shared" si="153"/>
        <v>0</v>
      </c>
      <c r="Y195" s="34">
        <f t="shared" si="153"/>
        <v>0</v>
      </c>
      <c r="Z195" s="34">
        <f t="shared" si="153"/>
        <v>0</v>
      </c>
      <c r="AA195" s="34">
        <f t="shared" si="153"/>
        <v>0</v>
      </c>
      <c r="AB195" s="35">
        <f t="shared" si="153"/>
        <v>80951049</v>
      </c>
      <c r="AK195" s="33">
        <f t="shared" ref="AK195:AP195" si="154">SUM(AK179:AK194)</f>
        <v>19909055</v>
      </c>
      <c r="AL195" s="33">
        <f t="shared" si="154"/>
        <v>288920</v>
      </c>
      <c r="AM195" s="34">
        <f t="shared" si="154"/>
        <v>795322</v>
      </c>
      <c r="AN195" s="34">
        <f t="shared" si="154"/>
        <v>795322</v>
      </c>
      <c r="AO195" s="34">
        <f t="shared" si="154"/>
        <v>0</v>
      </c>
      <c r="AP195" s="34">
        <f t="shared" si="154"/>
        <v>0</v>
      </c>
      <c r="AQ195" s="35">
        <f t="shared" ref="AQ195" si="155">SUM(AQ179:AQ194)</f>
        <v>20197975</v>
      </c>
    </row>
    <row r="196" spans="1:43" s="6" customFormat="1" ht="1.9" customHeight="1" x14ac:dyDescent="0.2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17"/>
      <c r="AK196" s="42"/>
      <c r="AL196" s="42"/>
      <c r="AM196" s="22"/>
      <c r="AN196" s="22"/>
      <c r="AO196" s="22"/>
      <c r="AP196" s="22"/>
      <c r="AQ196" s="17"/>
    </row>
    <row r="197" spans="1:43" s="6" customFormat="1" ht="51" x14ac:dyDescent="0.2">
      <c r="A197" s="31" t="s">
        <v>98</v>
      </c>
      <c r="B197" s="32"/>
      <c r="C197" s="33">
        <f t="shared" ref="C197:AB197" si="156">C18-C176-C195</f>
        <v>0</v>
      </c>
      <c r="D197" s="34">
        <f t="shared" si="156"/>
        <v>0</v>
      </c>
      <c r="E197" s="34">
        <f t="shared" si="156"/>
        <v>0</v>
      </c>
      <c r="F197" s="34">
        <f t="shared" si="156"/>
        <v>0</v>
      </c>
      <c r="G197" s="34">
        <f t="shared" si="156"/>
        <v>0</v>
      </c>
      <c r="H197" s="34">
        <f t="shared" si="156"/>
        <v>0</v>
      </c>
      <c r="I197" s="34">
        <f t="shared" si="156"/>
        <v>0</v>
      </c>
      <c r="J197" s="34">
        <f t="shared" si="156"/>
        <v>0</v>
      </c>
      <c r="K197" s="34">
        <f t="shared" si="156"/>
        <v>0</v>
      </c>
      <c r="L197" s="34">
        <f t="shared" si="156"/>
        <v>0</v>
      </c>
      <c r="M197" s="34">
        <f t="shared" si="156"/>
        <v>0</v>
      </c>
      <c r="N197" s="34">
        <f t="shared" si="156"/>
        <v>0</v>
      </c>
      <c r="O197" s="34">
        <f t="shared" si="156"/>
        <v>0</v>
      </c>
      <c r="P197" s="34">
        <f t="shared" si="156"/>
        <v>0</v>
      </c>
      <c r="Q197" s="34">
        <f>Q18-Q176-Q195</f>
        <v>0</v>
      </c>
      <c r="R197" s="34">
        <f t="shared" si="156"/>
        <v>0</v>
      </c>
      <c r="S197" s="34">
        <f t="shared" si="156"/>
        <v>0</v>
      </c>
      <c r="T197" s="34">
        <f t="shared" si="156"/>
        <v>0</v>
      </c>
      <c r="U197" s="34">
        <f t="shared" si="156"/>
        <v>0</v>
      </c>
      <c r="V197" s="34">
        <f t="shared" si="156"/>
        <v>0</v>
      </c>
      <c r="W197" s="34">
        <f t="shared" si="156"/>
        <v>0</v>
      </c>
      <c r="X197" s="34">
        <f t="shared" si="156"/>
        <v>0</v>
      </c>
      <c r="Y197" s="34">
        <f t="shared" si="156"/>
        <v>0</v>
      </c>
      <c r="Z197" s="34">
        <f t="shared" si="156"/>
        <v>0</v>
      </c>
      <c r="AA197" s="34">
        <f t="shared" si="156"/>
        <v>0</v>
      </c>
      <c r="AB197" s="35">
        <f t="shared" si="156"/>
        <v>0</v>
      </c>
      <c r="AK197" s="41"/>
      <c r="AL197" s="41"/>
      <c r="AM197" s="34">
        <f>AM18-AM176-AM195</f>
        <v>7573688</v>
      </c>
      <c r="AN197" s="34">
        <f>AN18-AN176-AN195</f>
        <v>0</v>
      </c>
      <c r="AO197" s="34">
        <f>AO18-AO176-AO195</f>
        <v>0</v>
      </c>
      <c r="AP197" s="34">
        <f>AP18-AP176-AP195</f>
        <v>0</v>
      </c>
      <c r="AQ197" s="35">
        <f t="shared" ref="AQ197" si="157">AQ18-AQ176-AQ195</f>
        <v>-2069654</v>
      </c>
    </row>
    <row r="198" spans="1:43" ht="1.9" customHeight="1" x14ac:dyDescent="0.2"/>
    <row r="199" spans="1:43" ht="25.5" x14ac:dyDescent="0.2">
      <c r="A199" s="9" t="s">
        <v>56</v>
      </c>
      <c r="C199" s="7" t="str">
        <f t="shared" ref="C199:AB199" si="158">IF(C3&gt;C195,"Yes","No")</f>
        <v>Yes</v>
      </c>
      <c r="D199" s="7" t="str">
        <f t="shared" si="158"/>
        <v>Yes</v>
      </c>
      <c r="E199" s="7" t="str">
        <f t="shared" si="158"/>
        <v>Yes</v>
      </c>
      <c r="F199" s="7" t="str">
        <f t="shared" si="158"/>
        <v>No</v>
      </c>
      <c r="G199" s="7" t="str">
        <f t="shared" si="158"/>
        <v>No</v>
      </c>
      <c r="H199" s="7" t="str">
        <f t="shared" si="158"/>
        <v>No</v>
      </c>
      <c r="I199" s="7" t="str">
        <f t="shared" si="158"/>
        <v>Yes</v>
      </c>
      <c r="J199" s="7" t="str">
        <f t="shared" si="158"/>
        <v>No</v>
      </c>
      <c r="K199" s="7" t="str">
        <f t="shared" si="158"/>
        <v>No</v>
      </c>
      <c r="L199" s="7" t="str">
        <f t="shared" si="158"/>
        <v>Yes</v>
      </c>
      <c r="M199" s="7" t="str">
        <f t="shared" si="158"/>
        <v>No</v>
      </c>
      <c r="N199" s="7" t="str">
        <f t="shared" si="158"/>
        <v>No</v>
      </c>
      <c r="O199" s="7" t="str">
        <f t="shared" si="158"/>
        <v>Yes</v>
      </c>
      <c r="P199" s="7" t="str">
        <f t="shared" si="158"/>
        <v>No</v>
      </c>
      <c r="Q199" s="7" t="str">
        <f t="shared" si="158"/>
        <v>Yes</v>
      </c>
      <c r="R199" s="7" t="str">
        <f t="shared" si="158"/>
        <v>No</v>
      </c>
      <c r="S199" s="7" t="str">
        <f t="shared" si="158"/>
        <v>No</v>
      </c>
      <c r="T199" s="7" t="str">
        <f t="shared" si="158"/>
        <v>No</v>
      </c>
      <c r="U199" s="7" t="str">
        <f t="shared" si="158"/>
        <v>Yes</v>
      </c>
      <c r="V199" s="7" t="str">
        <f t="shared" si="158"/>
        <v>No</v>
      </c>
      <c r="W199" s="7" t="str">
        <f t="shared" si="158"/>
        <v>No</v>
      </c>
      <c r="X199" s="7" t="str">
        <f t="shared" si="158"/>
        <v>No</v>
      </c>
      <c r="Y199" s="7" t="str">
        <f t="shared" si="158"/>
        <v>No</v>
      </c>
      <c r="Z199" s="7" t="str">
        <f t="shared" si="158"/>
        <v>No</v>
      </c>
      <c r="AA199" s="7" t="str">
        <f t="shared" si="158"/>
        <v>No</v>
      </c>
      <c r="AB199" s="7" t="str">
        <f t="shared" si="158"/>
        <v>Yes</v>
      </c>
      <c r="AK199" s="7"/>
      <c r="AL199" s="7"/>
      <c r="AM199" s="7" t="str">
        <f>IF(AM3&gt;AM195,"Yes","No")</f>
        <v>No</v>
      </c>
      <c r="AN199" s="7"/>
      <c r="AO199" s="7"/>
      <c r="AP199" s="7" t="str">
        <f>IF(AP3&gt;AP195,"Yes","No")</f>
        <v>Yes</v>
      </c>
      <c r="AQ199" s="7" t="str">
        <f t="shared" ref="AQ199" si="159">IF(AQ3&gt;AQ195,"Yes","No")</f>
        <v>Yes</v>
      </c>
    </row>
  </sheetData>
  <sheetProtection formatCells="0" formatColumns="0" formatRows="0"/>
  <conditionalFormatting sqref="C199:AB199 AK199:AQ199">
    <cfRule type="cellIs" dxfId="1" priority="2" operator="equal">
      <formula>"Yes"</formula>
    </cfRule>
  </conditionalFormatting>
  <conditionalFormatting sqref="AQ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Kassandra Naylon</cp:lastModifiedBy>
  <cp:lastPrinted>2017-03-28T16:11:06Z</cp:lastPrinted>
  <dcterms:created xsi:type="dcterms:W3CDTF">2013-05-02T21:12:35Z</dcterms:created>
  <dcterms:modified xsi:type="dcterms:W3CDTF">2025-03-19T19:27:36Z</dcterms:modified>
</cp:coreProperties>
</file>