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\Edlio Website Documents\Business\Financial Transparency\Debt Information\"/>
    </mc:Choice>
  </mc:AlternateContent>
  <xr:revisionPtr revIDLastSave="0" documentId="8_{E24F4310-215E-4A84-A75F-15D625BD0D43}" xr6:coauthVersionLast="47" xr6:coauthVersionMax="47" xr10:uidLastSave="{00000000-0000-0000-0000-000000000000}"/>
  <bookViews>
    <workbookView xWindow="-120" yWindow="-120" windowWidth="20730" windowHeight="11160" activeTab="8" xr2:uid="{00000000-000D-0000-FFFF-FFFF00000000}"/>
  </bookViews>
  <sheets>
    <sheet name="Title Page" sheetId="6" r:id="rId1"/>
    <sheet name="Fund FS" sheetId="1" r:id="rId2"/>
    <sheet name="List of Bond Issues" sheetId="2" r:id="rId3"/>
    <sheet name="General Obligation Bonds wP&amp;I" sheetId="5" r:id="rId4"/>
    <sheet name="General Obligation wper capita" sheetId="4" r:id="rId5"/>
    <sheet name="General Obligation per Student" sheetId="8" r:id="rId6"/>
    <sheet name="Total Bonded Debt OS" sheetId="3" r:id="rId7"/>
    <sheet name="Maint Tax Note" sheetId="7" r:id="rId8"/>
    <sheet name="Notes Payable" sheetId="9" r:id="rId9"/>
  </sheets>
  <definedNames>
    <definedName name="_xlnm.Print_Area" localSheetId="3">'General Obligation Bonds wP&amp;I'!$A$1:$G$35</definedName>
    <definedName name="_xlnm.Print_Area" localSheetId="5">'General Obligation per Student'!$A$1:$H$38</definedName>
    <definedName name="_xlnm.Print_Area" localSheetId="4">'General Obligation wper capita'!$A$1:$H$40</definedName>
    <definedName name="_xlnm.Print_Area" localSheetId="2">'List of Bond Issues'!$A$1:$I$33</definedName>
    <definedName name="_xlnm.Print_Area" localSheetId="7">'Maint Tax Note'!$A$1:$G$26</definedName>
    <definedName name="_xlnm.Print_Area" localSheetId="8">'Notes Payable'!$A$1:$F$27</definedName>
    <definedName name="_xlnm.Print_Area" localSheetId="6">'Total Bonded Debt OS'!$A$1:$D$39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3" l="1"/>
  <c r="D16" i="5"/>
  <c r="C7" i="7" l="1"/>
  <c r="C6" i="7"/>
  <c r="B39" i="3" l="1"/>
  <c r="D38" i="3"/>
  <c r="D35" i="3"/>
  <c r="D34" i="3"/>
  <c r="D32" i="3"/>
  <c r="D37" i="3"/>
  <c r="D28" i="3"/>
  <c r="D33" i="3"/>
  <c r="D36" i="3"/>
  <c r="D31" i="3"/>
  <c r="D27" i="3"/>
  <c r="D26" i="3"/>
  <c r="D24" i="3"/>
  <c r="D22" i="3"/>
  <c r="D21" i="3"/>
  <c r="D20" i="3"/>
  <c r="D19" i="3"/>
  <c r="D18" i="3"/>
  <c r="D17" i="3"/>
  <c r="D15" i="3"/>
  <c r="D14" i="3"/>
  <c r="D13" i="3"/>
  <c r="D11" i="3"/>
  <c r="D10" i="3"/>
  <c r="D9" i="3"/>
  <c r="D8" i="3"/>
  <c r="D7" i="3"/>
  <c r="D29" i="3"/>
  <c r="D25" i="3"/>
  <c r="D23" i="3"/>
  <c r="D16" i="3"/>
  <c r="D12" i="3"/>
  <c r="G18" i="8"/>
  <c r="H18" i="8" s="1"/>
  <c r="G17" i="8"/>
  <c r="G16" i="8"/>
  <c r="G15" i="8"/>
  <c r="G14" i="8"/>
  <c r="G13" i="8"/>
  <c r="G12" i="8"/>
  <c r="G11" i="8"/>
  <c r="G10" i="8"/>
  <c r="G9" i="8"/>
  <c r="G8" i="8"/>
  <c r="F19" i="8"/>
  <c r="E19" i="8"/>
  <c r="D19" i="8"/>
  <c r="B19" i="8"/>
  <c r="D32" i="4"/>
  <c r="G32" i="4" s="1"/>
  <c r="E33" i="4"/>
  <c r="G26" i="4"/>
  <c r="G25" i="4"/>
  <c r="G24" i="4"/>
  <c r="E27" i="4"/>
  <c r="B19" i="4"/>
  <c r="F19" i="4"/>
  <c r="E19" i="4"/>
  <c r="D19" i="4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H31" i="4"/>
  <c r="H23" i="4"/>
  <c r="E23" i="5"/>
  <c r="E22" i="5"/>
  <c r="E21" i="5"/>
  <c r="D21" i="5"/>
  <c r="E15" i="5"/>
  <c r="F15" i="5" s="1"/>
  <c r="E14" i="5"/>
  <c r="E13" i="5"/>
  <c r="E12" i="5"/>
  <c r="E11" i="5"/>
  <c r="E9" i="5"/>
  <c r="E10" i="5"/>
  <c r="E8" i="5"/>
  <c r="E16" i="5" s="1"/>
  <c r="G15" i="2"/>
  <c r="J10" i="1"/>
  <c r="J11" i="1"/>
  <c r="I10" i="1"/>
  <c r="H10" i="1"/>
  <c r="E10" i="1"/>
  <c r="D10" i="1"/>
  <c r="C10" i="1"/>
  <c r="G19" i="8" l="1"/>
  <c r="H19" i="4"/>
  <c r="E35" i="4"/>
  <c r="G19" i="4"/>
  <c r="C39" i="3"/>
  <c r="D30" i="3"/>
  <c r="I26" i="1"/>
  <c r="I34" i="1" s="1"/>
  <c r="E26" i="1"/>
  <c r="E34" i="1" s="1"/>
  <c r="H17" i="8" l="1"/>
  <c r="F14" i="5" l="1"/>
  <c r="B16" i="5"/>
  <c r="G14" i="2"/>
  <c r="F27" i="8" l="1"/>
  <c r="G32" i="8"/>
  <c r="G33" i="8" s="1"/>
  <c r="F33" i="8"/>
  <c r="G24" i="8"/>
  <c r="G25" i="8"/>
  <c r="G26" i="8"/>
  <c r="D6" i="3"/>
  <c r="D39" i="3" s="1"/>
  <c r="G27" i="8" l="1"/>
  <c r="H15" i="8"/>
  <c r="H31" i="8"/>
  <c r="H23" i="8"/>
  <c r="F13" i="5"/>
  <c r="F12" i="5"/>
  <c r="G13" i="2"/>
  <c r="G12" i="2"/>
  <c r="K13" i="1"/>
  <c r="H26" i="1"/>
  <c r="D26" i="1"/>
  <c r="D34" i="1" s="1"/>
  <c r="C26" i="1"/>
  <c r="I20" i="1"/>
  <c r="I14" i="1"/>
  <c r="I37" i="1" l="1"/>
  <c r="H16" i="8"/>
  <c r="J26" i="1"/>
  <c r="J34" i="1" s="1"/>
  <c r="C8" i="9" l="1"/>
  <c r="C7" i="9"/>
  <c r="C6" i="9"/>
  <c r="D10" i="7"/>
  <c r="D9" i="7"/>
  <c r="D8" i="7"/>
  <c r="D7" i="7"/>
  <c r="D6" i="7"/>
  <c r="D11" i="7" l="1"/>
  <c r="C11" i="7"/>
  <c r="K17" i="1" l="1"/>
  <c r="C35" i="1"/>
  <c r="E20" i="1"/>
  <c r="D20" i="1"/>
  <c r="D33" i="1" s="1"/>
  <c r="C20" i="1"/>
  <c r="C33" i="1" s="1"/>
  <c r="F19" i="1"/>
  <c r="F18" i="1"/>
  <c r="F17" i="1"/>
  <c r="E14" i="1"/>
  <c r="D14" i="1"/>
  <c r="C14" i="1"/>
  <c r="C37" i="1" s="1"/>
  <c r="F12" i="1"/>
  <c r="F11" i="1"/>
  <c r="F10" i="1"/>
  <c r="E33" i="1" l="1"/>
  <c r="E35" i="1" s="1"/>
  <c r="D37" i="1"/>
  <c r="F14" i="1"/>
  <c r="E37" i="1"/>
  <c r="F33" i="1"/>
  <c r="F35" i="1" s="1"/>
  <c r="F20" i="1"/>
  <c r="D35" i="1"/>
  <c r="F29" i="5"/>
  <c r="C10" i="9" l="1"/>
  <c r="D9" i="9"/>
  <c r="D8" i="9"/>
  <c r="D7" i="9"/>
  <c r="D6" i="9"/>
  <c r="G27" i="2"/>
  <c r="G33" i="4"/>
  <c r="F33" i="4"/>
  <c r="D33" i="4"/>
  <c r="B33" i="4"/>
  <c r="H32" i="4"/>
  <c r="H33" i="4" s="1"/>
  <c r="F30" i="5"/>
  <c r="E30" i="5"/>
  <c r="D30" i="5"/>
  <c r="B30" i="5"/>
  <c r="D33" i="8"/>
  <c r="B33" i="8"/>
  <c r="D10" i="9" l="1"/>
  <c r="B10" i="9"/>
  <c r="H32" i="8"/>
  <c r="H33" i="8" s="1"/>
  <c r="D27" i="8"/>
  <c r="B27" i="8"/>
  <c r="B35" i="8" l="1"/>
  <c r="H26" i="8" l="1"/>
  <c r="E24" i="5" l="1"/>
  <c r="D24" i="5"/>
  <c r="B24" i="5"/>
  <c r="F22" i="5"/>
  <c r="F27" i="4"/>
  <c r="F35" i="4" s="1"/>
  <c r="D27" i="4"/>
  <c r="D35" i="4" s="1"/>
  <c r="B27" i="4"/>
  <c r="B35" i="4" s="1"/>
  <c r="H26" i="4"/>
  <c r="G21" i="2"/>
  <c r="H25" i="8" l="1"/>
  <c r="H24" i="8"/>
  <c r="D35" i="8"/>
  <c r="H14" i="8"/>
  <c r="H13" i="8"/>
  <c r="H12" i="8"/>
  <c r="H11" i="8"/>
  <c r="H10" i="8"/>
  <c r="H9" i="8"/>
  <c r="F35" i="8"/>
  <c r="H8" i="8"/>
  <c r="H19" i="8" l="1"/>
  <c r="H27" i="8"/>
  <c r="F23" i="5"/>
  <c r="F21" i="5"/>
  <c r="H25" i="4"/>
  <c r="H24" i="4"/>
  <c r="B11" i="7"/>
  <c r="H27" i="4" l="1"/>
  <c r="G27" i="4"/>
  <c r="F24" i="5"/>
  <c r="H35" i="8"/>
  <c r="G35" i="8"/>
  <c r="F7" i="5"/>
  <c r="B33" i="5"/>
  <c r="G35" i="4" l="1"/>
  <c r="D33" i="5"/>
  <c r="F9" i="5"/>
  <c r="F8" i="5"/>
  <c r="F16" i="5" s="1"/>
  <c r="F11" i="5"/>
  <c r="F10" i="5"/>
  <c r="H35" i="4" l="1"/>
  <c r="E33" i="5"/>
  <c r="G22" i="2"/>
  <c r="G20" i="2"/>
  <c r="G11" i="2"/>
  <c r="G10" i="2"/>
  <c r="G9" i="2"/>
  <c r="G8" i="2"/>
  <c r="G7" i="2"/>
  <c r="K10" i="1"/>
  <c r="H14" i="1"/>
  <c r="K12" i="1"/>
  <c r="K11" i="1"/>
  <c r="K19" i="1"/>
  <c r="K18" i="1"/>
  <c r="J20" i="1"/>
  <c r="J33" i="1" s="1"/>
  <c r="I33" i="1"/>
  <c r="I35" i="1" s="1"/>
  <c r="H20" i="1"/>
  <c r="H33" i="1" l="1"/>
  <c r="H35" i="1" s="1"/>
  <c r="H37" i="1"/>
  <c r="F33" i="5"/>
  <c r="J35" i="1"/>
  <c r="K35" i="1" s="1"/>
  <c r="K33" i="1"/>
  <c r="J14" i="1"/>
  <c r="K20" i="1"/>
  <c r="J37" i="1" l="1"/>
  <c r="J39" i="1" s="1"/>
  <c r="K14" i="1"/>
</calcChain>
</file>

<file path=xl/sharedStrings.xml><?xml version="1.0" encoding="utf-8"?>
<sst xmlns="http://schemas.openxmlformats.org/spreadsheetml/2006/main" count="364" uniqueCount="115">
  <si>
    <t>White Settlement Independent School District</t>
  </si>
  <si>
    <t>Debt Service Fund Financial Statement</t>
  </si>
  <si>
    <t xml:space="preserve">   Tax Collections</t>
  </si>
  <si>
    <t xml:space="preserve">   Penalties</t>
  </si>
  <si>
    <t xml:space="preserve">   Interest Income</t>
  </si>
  <si>
    <t>Total Revenues</t>
  </si>
  <si>
    <t>Budget</t>
  </si>
  <si>
    <t xml:space="preserve">Original </t>
  </si>
  <si>
    <t>Amended</t>
  </si>
  <si>
    <t>Actual</t>
  </si>
  <si>
    <t xml:space="preserve">Actual to </t>
  </si>
  <si>
    <t xml:space="preserve">   Debt Service - Principal</t>
  </si>
  <si>
    <t xml:space="preserve">   Debt Service - Interest</t>
  </si>
  <si>
    <t xml:space="preserve">   Misc. Fees</t>
  </si>
  <si>
    <t>Total Expenditures</t>
  </si>
  <si>
    <t>REVENUES:</t>
  </si>
  <si>
    <t>EXPENDITURES:</t>
  </si>
  <si>
    <t>EXPENDITURE SUMMARY BY OBJECT CODE:</t>
  </si>
  <si>
    <t xml:space="preserve">   62XX - Professional and Contracted Services</t>
  </si>
  <si>
    <t xml:space="preserve">   61XX - Payroll Costs</t>
  </si>
  <si>
    <t xml:space="preserve">   63XX - Supplies and Materials</t>
  </si>
  <si>
    <t xml:space="preserve">   64XX - Other Operating Expenses</t>
  </si>
  <si>
    <t xml:space="preserve">   65XX - Debt Services</t>
  </si>
  <si>
    <t>Excess (Deficiency) of Revenues Over Expenditures</t>
  </si>
  <si>
    <t>Debt Service Fund Balance</t>
  </si>
  <si>
    <t xml:space="preserve">   State Revenue</t>
  </si>
  <si>
    <t>Authorization</t>
  </si>
  <si>
    <t>Unissued</t>
  </si>
  <si>
    <t>Total Authorization</t>
  </si>
  <si>
    <t>Amount</t>
  </si>
  <si>
    <t>Purpose for which Debt was Authorized</t>
  </si>
  <si>
    <t>Issued Amount</t>
  </si>
  <si>
    <t>Year</t>
  </si>
  <si>
    <t>2015A</t>
  </si>
  <si>
    <t>2015B</t>
  </si>
  <si>
    <t>School Building</t>
  </si>
  <si>
    <t>Refunding</t>
  </si>
  <si>
    <t>Softball and Baseball Turf</t>
  </si>
  <si>
    <t>Current Credit Ratings:</t>
  </si>
  <si>
    <t>Standard an Poors</t>
  </si>
  <si>
    <t>Fitch</t>
  </si>
  <si>
    <t>A</t>
  </si>
  <si>
    <t>A+</t>
  </si>
  <si>
    <t>Fiscal Year</t>
  </si>
  <si>
    <t>Ending</t>
  </si>
  <si>
    <t>Principal</t>
  </si>
  <si>
    <t>Interest</t>
  </si>
  <si>
    <t>Total</t>
  </si>
  <si>
    <t xml:space="preserve"> </t>
  </si>
  <si>
    <t>Series</t>
  </si>
  <si>
    <t>Original Issue</t>
  </si>
  <si>
    <t>Maturity</t>
  </si>
  <si>
    <t>Date</t>
  </si>
  <si>
    <t>Beginning</t>
  </si>
  <si>
    <t>Balance</t>
  </si>
  <si>
    <t>Annual</t>
  </si>
  <si>
    <t>Payment</t>
  </si>
  <si>
    <t xml:space="preserve">Ending </t>
  </si>
  <si>
    <t>Outstanding</t>
  </si>
  <si>
    <t>Debt Per Capita</t>
  </si>
  <si>
    <t>2012 - Refund</t>
  </si>
  <si>
    <t>2013 - Refund</t>
  </si>
  <si>
    <t>2014 - Refund</t>
  </si>
  <si>
    <t>2015A - Refund</t>
  </si>
  <si>
    <t>2015B - Refund</t>
  </si>
  <si>
    <t>2016 - Refund</t>
  </si>
  <si>
    <t>TOTAL</t>
  </si>
  <si>
    <t xml:space="preserve">Principal </t>
  </si>
  <si>
    <t>DEBT TRANSPARENCY</t>
  </si>
  <si>
    <t>WHITE SETTLEMENT INDEPENDENT SCHOOL DISTRICT</t>
  </si>
  <si>
    <t>Program Rating</t>
  </si>
  <si>
    <t>School Issuer Credit</t>
  </si>
  <si>
    <t>AAA</t>
  </si>
  <si>
    <t>BONDS</t>
  </si>
  <si>
    <t>MAINTENANCE TAX NOTES</t>
  </si>
  <si>
    <t>GRAND TOTAL</t>
  </si>
  <si>
    <t>TOTAL BONDS</t>
  </si>
  <si>
    <t>TOTAL MTN</t>
  </si>
  <si>
    <t>School Buses</t>
  </si>
  <si>
    <t>Debt Per Student</t>
  </si>
  <si>
    <t>Renovation of Lighting - District-wide</t>
  </si>
  <si>
    <t>Performance Contract for HVAC &amp; Other</t>
  </si>
  <si>
    <t>NOTES:</t>
  </si>
  <si>
    <t xml:space="preserve">   Premium on issuance of Bonds</t>
  </si>
  <si>
    <t xml:space="preserve">   Payment to Bond Escrow Agent</t>
  </si>
  <si>
    <t>Other Financing Sources (Uses)</t>
  </si>
  <si>
    <t xml:space="preserve">   7900  - 8900 -  Other Sources (Uses)</t>
  </si>
  <si>
    <t>Total Other</t>
  </si>
  <si>
    <t>Total by Object Code</t>
  </si>
  <si>
    <t>2020A</t>
  </si>
  <si>
    <t>2020 - Refund</t>
  </si>
  <si>
    <t>2020A - Refund</t>
  </si>
  <si>
    <t>1. Balances include principal only.</t>
  </si>
  <si>
    <t xml:space="preserve">   Proceeds from issuance of Bonds</t>
  </si>
  <si>
    <t>FINANCING ARRANGEMENT</t>
  </si>
  <si>
    <t>Total Debt (includes principal and Interest)</t>
  </si>
  <si>
    <t>General Obligation Debt Per Capita (Principal Only)</t>
  </si>
  <si>
    <t>General Obligation Debt Per Student (Principal Only)</t>
  </si>
  <si>
    <t>As of June 30, 2023</t>
  </si>
  <si>
    <t>PRIOR YEAR 2021-2022</t>
  </si>
  <si>
    <t>CURRENT YEAR 2022-2023</t>
  </si>
  <si>
    <t>List of General Obligation Bonds, Maintenance Tax Notes, and Financing Arrangement as of June 30, 2023</t>
  </si>
  <si>
    <t>General Obligation Bonds as of June 30, 2023</t>
  </si>
  <si>
    <t>Maintenance Tax Notes as of June 30, 2023</t>
  </si>
  <si>
    <t>Financing Arrangement as of June 30, 2023</t>
  </si>
  <si>
    <t>Moody's</t>
  </si>
  <si>
    <t>A1</t>
  </si>
  <si>
    <t>General Obligation Bonds, Maintenance Tax Notes, and Financing Arrangement as of June 30, 2023</t>
  </si>
  <si>
    <t>General Obligation Bonds, Maintenance Tax Notes, and Financing Arrangement as of June 30, 2023 - Per Capita</t>
  </si>
  <si>
    <t>Issued</t>
  </si>
  <si>
    <t>General Obligation Bonds, Maintenance Tax Notes, and Financing Arrangement as of June 30, 2023 - Per Student</t>
  </si>
  <si>
    <t>Total Bonded Debt Outstanding as of June 30, 2023</t>
  </si>
  <si>
    <t>Total Maintenance Tax Notes as of June 30, 2023</t>
  </si>
  <si>
    <t>TOTAL FINANCING ARRANGEMENT AS OF JUNE 30, 2023</t>
  </si>
  <si>
    <t xml:space="preserve"> June 30,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</si>
</sst>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/>
    </xf>
    <xf numFmtId="44" fontId="0" fillId="0" borderId="0" xfId="2" applyFont="1"/>
    <xf numFmtId="0" fontId="2" fillId="0" borderId="0" xfId="0" applyFont="1"/>
    <xf numFmtId="164" fontId="2" fillId="3" borderId="0" xfId="2" applyNumberFormat="1" applyFont="1" applyFill="1" applyAlignment="1">
      <alignment horizontal="center"/>
    </xf>
    <xf numFmtId="0" fontId="2" fillId="2" borderId="0" xfId="0" applyFont="1" applyFill="1"/>
    <xf numFmtId="164" fontId="2" fillId="2" borderId="0" xfId="2" applyNumberFormat="1" applyFont="1" applyFill="1"/>
    <xf numFmtId="164" fontId="2" fillId="0" borderId="0" xfId="2" applyNumberFormat="1" applyFont="1"/>
    <xf numFmtId="9" fontId="2" fillId="0" borderId="0" xfId="3" applyFont="1"/>
    <xf numFmtId="0" fontId="2" fillId="0" borderId="1" xfId="0" applyFont="1" applyBorder="1"/>
    <xf numFmtId="0" fontId="3" fillId="0" borderId="1" xfId="0" applyFont="1" applyBorder="1"/>
    <xf numFmtId="164" fontId="2" fillId="0" borderId="1" xfId="2" applyNumberFormat="1" applyFont="1" applyBorder="1"/>
    <xf numFmtId="9" fontId="2" fillId="0" borderId="1" xfId="3" applyFont="1" applyBorder="1"/>
    <xf numFmtId="43" fontId="2" fillId="0" borderId="0" xfId="1" applyFont="1"/>
    <xf numFmtId="0" fontId="0" fillId="0" borderId="2" xfId="0" applyBorder="1" applyAlignment="1">
      <alignment horizontal="center"/>
    </xf>
    <xf numFmtId="0" fontId="0" fillId="0" borderId="2" xfId="0" applyBorder="1"/>
    <xf numFmtId="44" fontId="0" fillId="0" borderId="2" xfId="2" applyFont="1" applyBorder="1"/>
    <xf numFmtId="0" fontId="5" fillId="0" borderId="0" xfId="0" applyFont="1" applyAlignment="1">
      <alignment horizontal="center"/>
    </xf>
    <xf numFmtId="164" fontId="0" fillId="0" borderId="0" xfId="2" applyNumberFormat="1" applyFont="1"/>
    <xf numFmtId="164" fontId="0" fillId="0" borderId="0" xfId="0" applyNumberFormat="1"/>
    <xf numFmtId="164" fontId="4" fillId="0" borderId="1" xfId="2" applyNumberFormat="1" applyFont="1" applyBorder="1"/>
    <xf numFmtId="14" fontId="0" fillId="0" borderId="0" xfId="0" applyNumberFormat="1"/>
    <xf numFmtId="164" fontId="0" fillId="0" borderId="0" xfId="2" applyNumberFormat="1" applyFont="1" applyAlignment="1">
      <alignment horizontal="center"/>
    </xf>
    <xf numFmtId="164" fontId="5" fillId="0" borderId="0" xfId="2" applyNumberFormat="1" applyFont="1" applyAlignment="1">
      <alignment horizontal="center"/>
    </xf>
    <xf numFmtId="164" fontId="0" fillId="0" borderId="1" xfId="0" applyNumberFormat="1" applyBorder="1"/>
    <xf numFmtId="164" fontId="0" fillId="0" borderId="3" xfId="0" applyNumberFormat="1" applyBorder="1"/>
    <xf numFmtId="44" fontId="0" fillId="0" borderId="0" xfId="2" applyFont="1" applyBorder="1"/>
    <xf numFmtId="0" fontId="4" fillId="0" borderId="0" xfId="0" applyFont="1"/>
    <xf numFmtId="164" fontId="4" fillId="0" borderId="3" xfId="0" applyNumberFormat="1" applyFont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3" fontId="0" fillId="0" borderId="0" xfId="1" applyFont="1"/>
    <xf numFmtId="1" fontId="5" fillId="0" borderId="0" xfId="2" applyNumberFormat="1" applyFont="1" applyAlignment="1">
      <alignment horizontal="center"/>
    </xf>
    <xf numFmtId="164" fontId="0" fillId="0" borderId="1" xfId="2" applyNumberFormat="1" applyFont="1" applyBorder="1"/>
    <xf numFmtId="164" fontId="0" fillId="0" borderId="0" xfId="2" applyNumberFormat="1" applyFont="1" applyFill="1"/>
    <xf numFmtId="0" fontId="0" fillId="0" borderId="4" xfId="0" applyBorder="1" applyAlignment="1">
      <alignment horizontal="center"/>
    </xf>
    <xf numFmtId="44" fontId="0" fillId="0" borderId="4" xfId="2" applyFont="1" applyBorder="1"/>
    <xf numFmtId="0" fontId="0" fillId="0" borderId="4" xfId="0" applyBorder="1"/>
    <xf numFmtId="164" fontId="0" fillId="0" borderId="2" xfId="0" applyNumberFormat="1" applyBorder="1" applyAlignment="1">
      <alignment horizontal="center"/>
    </xf>
    <xf numFmtId="164" fontId="0" fillId="0" borderId="0" xfId="2" applyNumberFormat="1" applyFont="1" applyBorder="1"/>
    <xf numFmtId="164" fontId="0" fillId="0" borderId="2" xfId="2" applyNumberFormat="1" applyFont="1" applyBorder="1"/>
    <xf numFmtId="164" fontId="0" fillId="0" borderId="4" xfId="2" applyNumberFormat="1" applyFont="1" applyBorder="1"/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4" fillId="4" borderId="0" xfId="0" applyFont="1" applyFill="1"/>
    <xf numFmtId="164" fontId="0" fillId="4" borderId="0" xfId="0" applyNumberFormat="1" applyFill="1"/>
    <xf numFmtId="0" fontId="0" fillId="4" borderId="0" xfId="0" applyFill="1"/>
    <xf numFmtId="0" fontId="3" fillId="0" borderId="0" xfId="0" applyFont="1"/>
    <xf numFmtId="164" fontId="2" fillId="0" borderId="0" xfId="2" applyNumberFormat="1" applyFont="1" applyBorder="1"/>
    <xf numFmtId="9" fontId="2" fillId="0" borderId="0" xfId="3" applyFont="1" applyBorder="1"/>
    <xf numFmtId="165" fontId="5" fillId="0" borderId="0" xfId="1" applyNumberFormat="1" applyFont="1" applyAlignment="1"/>
    <xf numFmtId="1" fontId="5" fillId="0" borderId="0" xfId="2" applyNumberFormat="1" applyFont="1" applyFill="1" applyAlignment="1">
      <alignment horizontal="center"/>
    </xf>
    <xf numFmtId="4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3" fillId="3" borderId="0" xfId="2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F13"/>
  <sheetViews>
    <sheetView workbookViewId="0">
      <selection activeCell="A14" sqref="A14"/>
    </sheetView>
  </sheetViews>
  <sheetFormatPr defaultRowHeight="15" x14ac:dyDescent="0.25"/>
  <cols>
    <col min="1" max="1" width="15.7109375" customWidth="1"/>
    <col min="2" max="2" width="6.7109375" customWidth="1"/>
    <col min="3" max="3" width="19.28515625" customWidth="1"/>
    <col min="4" max="4" width="18.7109375" customWidth="1"/>
    <col min="5" max="5" width="24.5703125" customWidth="1"/>
    <col min="6" max="6" width="18.7109375" customWidth="1"/>
  </cols>
  <sheetData>
    <row r="11" spans="1:6" s="30" customFormat="1" ht="23.25" x14ac:dyDescent="0.35">
      <c r="A11" s="55" t="s">
        <v>69</v>
      </c>
      <c r="B11" s="55"/>
      <c r="C11" s="55"/>
      <c r="D11" s="55"/>
      <c r="E11" s="55"/>
      <c r="F11" s="29"/>
    </row>
    <row r="12" spans="1:6" s="31" customFormat="1" ht="18.75" x14ac:dyDescent="0.3">
      <c r="A12" s="54" t="s">
        <v>68</v>
      </c>
      <c r="B12" s="54"/>
      <c r="C12" s="54"/>
      <c r="D12" s="54"/>
      <c r="E12" s="54"/>
    </row>
    <row r="13" spans="1:6" ht="18.75" x14ac:dyDescent="0.3">
      <c r="A13" s="56" t="s">
        <v>114</v>
      </c>
      <c r="B13" s="56"/>
      <c r="C13" s="56"/>
      <c r="D13" s="56"/>
      <c r="E13" s="56"/>
    </row>
  </sheetData>
  <mergeCells count="3">
    <mergeCell ref="A12:E12"/>
    <mergeCell ref="A11:E11"/>
    <mergeCell ref="A13:E13"/>
  </mergeCells>
  <printOptions horizontalCentered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topLeftCell="A3" workbookViewId="0">
      <selection activeCell="K27" sqref="K27"/>
    </sheetView>
  </sheetViews>
  <sheetFormatPr defaultColWidth="9.140625" defaultRowHeight="12.75" x14ac:dyDescent="0.2"/>
  <cols>
    <col min="1" max="1" width="24.140625" style="3" customWidth="1"/>
    <col min="2" max="2" width="18.140625" style="3" customWidth="1"/>
    <col min="3" max="3" width="12.140625" style="7" customWidth="1"/>
    <col min="4" max="4" width="13.7109375" style="7" customWidth="1"/>
    <col min="5" max="5" width="13.42578125" style="7" customWidth="1"/>
    <col min="6" max="6" width="9.42578125" style="7" customWidth="1"/>
    <col min="7" max="7" width="4" style="3" customWidth="1"/>
    <col min="8" max="9" width="12.42578125" style="7" customWidth="1"/>
    <col min="10" max="10" width="14" style="7" customWidth="1"/>
    <col min="11" max="11" width="9.85546875" style="7" customWidth="1"/>
    <col min="12" max="12" width="9.140625" style="3"/>
    <col min="13" max="13" width="12" style="3" bestFit="1" customWidth="1"/>
    <col min="14" max="16384" width="9.140625" style="3"/>
  </cols>
  <sheetData>
    <row r="1" spans="1:11" ht="15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x14ac:dyDescent="0.2">
      <c r="A2" s="59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x14ac:dyDescent="0.2">
      <c r="A3" s="59" t="s">
        <v>98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5" spans="1:11" ht="15" x14ac:dyDescent="0.25">
      <c r="C5" s="57" t="s">
        <v>99</v>
      </c>
      <c r="D5" s="57"/>
      <c r="E5" s="57"/>
      <c r="F5" s="57"/>
      <c r="G5"/>
      <c r="H5" s="57" t="s">
        <v>100</v>
      </c>
      <c r="I5" s="57"/>
      <c r="J5" s="57"/>
      <c r="K5" s="57"/>
    </row>
    <row r="6" spans="1:11" ht="15" x14ac:dyDescent="0.25">
      <c r="C6" s="4" t="s">
        <v>7</v>
      </c>
      <c r="D6" s="4" t="s">
        <v>8</v>
      </c>
      <c r="E6" s="4"/>
      <c r="F6" s="4" t="s">
        <v>10</v>
      </c>
      <c r="G6"/>
      <c r="H6" s="4" t="s">
        <v>7</v>
      </c>
      <c r="I6" s="4" t="s">
        <v>8</v>
      </c>
      <c r="J6" s="4"/>
      <c r="K6" s="4" t="s">
        <v>10</v>
      </c>
    </row>
    <row r="7" spans="1:11" ht="15" x14ac:dyDescent="0.25">
      <c r="C7" s="4" t="s">
        <v>6</v>
      </c>
      <c r="D7" s="4" t="s">
        <v>6</v>
      </c>
      <c r="E7" s="4" t="s">
        <v>9</v>
      </c>
      <c r="F7" s="4" t="s">
        <v>6</v>
      </c>
      <c r="G7"/>
      <c r="H7" s="4" t="s">
        <v>6</v>
      </c>
      <c r="I7" s="4" t="s">
        <v>6</v>
      </c>
      <c r="J7" s="4" t="s">
        <v>9</v>
      </c>
      <c r="K7" s="4" t="s">
        <v>6</v>
      </c>
    </row>
    <row r="8" spans="1:11" ht="15" x14ac:dyDescent="0.25">
      <c r="G8"/>
    </row>
    <row r="9" spans="1:11" ht="15" x14ac:dyDescent="0.25">
      <c r="A9" s="5" t="s">
        <v>15</v>
      </c>
      <c r="B9" s="5"/>
      <c r="C9" s="6"/>
      <c r="D9" s="6"/>
      <c r="E9" s="6"/>
      <c r="F9" s="6"/>
      <c r="G9"/>
      <c r="H9" s="6"/>
      <c r="I9" s="6"/>
      <c r="J9" s="6"/>
      <c r="K9" s="6"/>
    </row>
    <row r="10" spans="1:11" ht="15" x14ac:dyDescent="0.25">
      <c r="A10" s="3" t="s">
        <v>2</v>
      </c>
      <c r="C10" s="7">
        <f>12192200+50000</f>
        <v>12242200</v>
      </c>
      <c r="D10" s="7">
        <f>12500000+50000</f>
        <v>12550000</v>
      </c>
      <c r="E10" s="7">
        <f>12639941.85+42573.24</f>
        <v>12682515.09</v>
      </c>
      <c r="F10" s="8">
        <f t="shared" ref="F10:F14" si="0">E10/D10</f>
        <v>1.0105589713147409</v>
      </c>
      <c r="G10"/>
      <c r="H10" s="7">
        <f>13948171+50000</f>
        <v>13998171</v>
      </c>
      <c r="I10" s="7">
        <f>14398171+60000</f>
        <v>14458171</v>
      </c>
      <c r="J10" s="7">
        <f>14448943.74+69485.57-2</f>
        <v>14518427.310000001</v>
      </c>
      <c r="K10" s="8">
        <f t="shared" ref="K10:K14" si="1">J10/I10</f>
        <v>1.0041676301933351</v>
      </c>
    </row>
    <row r="11" spans="1:11" ht="15" x14ac:dyDescent="0.25">
      <c r="A11" s="3" t="s">
        <v>3</v>
      </c>
      <c r="C11" s="7">
        <v>50000</v>
      </c>
      <c r="D11" s="7">
        <v>50000</v>
      </c>
      <c r="E11" s="7">
        <v>69255.88</v>
      </c>
      <c r="F11" s="8">
        <f t="shared" si="0"/>
        <v>1.3851176000000001</v>
      </c>
      <c r="G11"/>
      <c r="H11" s="7">
        <v>50000</v>
      </c>
      <c r="I11" s="7">
        <v>80000</v>
      </c>
      <c r="J11" s="7">
        <f>88366.86</f>
        <v>88366.86</v>
      </c>
      <c r="K11" s="8">
        <f t="shared" si="1"/>
        <v>1.10458575</v>
      </c>
    </row>
    <row r="12" spans="1:11" ht="15" x14ac:dyDescent="0.25">
      <c r="A12" s="3" t="s">
        <v>4</v>
      </c>
      <c r="C12" s="7">
        <v>15000</v>
      </c>
      <c r="D12" s="7">
        <v>3000</v>
      </c>
      <c r="E12" s="7">
        <v>31896.22</v>
      </c>
      <c r="F12" s="8">
        <f t="shared" si="0"/>
        <v>10.632073333333334</v>
      </c>
      <c r="G12"/>
      <c r="H12" s="7">
        <v>15000</v>
      </c>
      <c r="I12" s="7">
        <v>590000</v>
      </c>
      <c r="J12" s="7">
        <v>692015.9</v>
      </c>
      <c r="K12" s="8">
        <f t="shared" si="1"/>
        <v>1.1729083050847458</v>
      </c>
    </row>
    <row r="13" spans="1:11" ht="15" x14ac:dyDescent="0.25">
      <c r="A13" s="3" t="s">
        <v>25</v>
      </c>
      <c r="C13" s="7">
        <v>0</v>
      </c>
      <c r="D13" s="7">
        <v>136519</v>
      </c>
      <c r="E13" s="7">
        <v>404544</v>
      </c>
      <c r="F13" s="8" t="s">
        <v>48</v>
      </c>
      <c r="G13"/>
      <c r="H13" s="7">
        <v>392517</v>
      </c>
      <c r="I13" s="7">
        <v>584390</v>
      </c>
      <c r="J13" s="7">
        <v>735254</v>
      </c>
      <c r="K13" s="8">
        <f t="shared" si="1"/>
        <v>1.2581563681787846</v>
      </c>
    </row>
    <row r="14" spans="1:11" ht="15.75" thickBot="1" x14ac:dyDescent="0.3">
      <c r="A14" s="9" t="s">
        <v>5</v>
      </c>
      <c r="B14" s="10" t="s">
        <v>5</v>
      </c>
      <c r="C14" s="11">
        <f>SUM(C10:C13)</f>
        <v>12307200</v>
      </c>
      <c r="D14" s="11">
        <f>SUM(D10:D13)</f>
        <v>12739519</v>
      </c>
      <c r="E14" s="11">
        <f>SUM(E10:E13)</f>
        <v>13188211.190000001</v>
      </c>
      <c r="F14" s="8">
        <f t="shared" si="0"/>
        <v>1.0352204969434091</v>
      </c>
      <c r="G14"/>
      <c r="H14" s="11">
        <f>SUM(H10:H13)</f>
        <v>14455688</v>
      </c>
      <c r="I14" s="11">
        <f>SUM(I10:I13)</f>
        <v>15712561</v>
      </c>
      <c r="J14" s="11">
        <f>SUM(J10:J13)</f>
        <v>16034064.07</v>
      </c>
      <c r="K14" s="12">
        <f t="shared" si="1"/>
        <v>1.0204615320188732</v>
      </c>
    </row>
    <row r="15" spans="1:11" ht="15.75" thickTop="1" x14ac:dyDescent="0.25">
      <c r="E15" s="7" t="s">
        <v>48</v>
      </c>
      <c r="F15" s="7" t="s">
        <v>48</v>
      </c>
      <c r="G15"/>
      <c r="J15" s="7" t="s">
        <v>48</v>
      </c>
      <c r="K15" s="8" t="s">
        <v>48</v>
      </c>
    </row>
    <row r="16" spans="1:11" ht="15" x14ac:dyDescent="0.25">
      <c r="A16" s="5" t="s">
        <v>16</v>
      </c>
      <c r="B16" s="5"/>
      <c r="C16" s="6"/>
      <c r="D16" s="6"/>
      <c r="E16" s="6"/>
      <c r="F16" s="6"/>
      <c r="G16"/>
      <c r="H16" s="6"/>
      <c r="I16" s="6"/>
      <c r="J16" s="6"/>
      <c r="K16" s="6"/>
    </row>
    <row r="17" spans="1:11" ht="15" x14ac:dyDescent="0.25">
      <c r="A17" s="3" t="s">
        <v>11</v>
      </c>
      <c r="C17" s="7">
        <v>4789025</v>
      </c>
      <c r="D17" s="7">
        <v>6659150</v>
      </c>
      <c r="E17" s="7">
        <v>6659150</v>
      </c>
      <c r="F17" s="8">
        <f>E17/D17</f>
        <v>1</v>
      </c>
      <c r="G17"/>
      <c r="H17" s="7">
        <v>6659398</v>
      </c>
      <c r="I17" s="7">
        <v>2659400</v>
      </c>
      <c r="J17" s="7">
        <v>2659397.6</v>
      </c>
      <c r="K17" s="8">
        <f t="shared" ref="K17:K20" si="2">J17/I17</f>
        <v>0.99999909754079874</v>
      </c>
    </row>
    <row r="18" spans="1:11" ht="15" x14ac:dyDescent="0.25">
      <c r="A18" s="3" t="s">
        <v>12</v>
      </c>
      <c r="C18" s="7">
        <v>7342733</v>
      </c>
      <c r="D18" s="7">
        <v>7523308</v>
      </c>
      <c r="E18" s="7">
        <v>7523294</v>
      </c>
      <c r="F18" s="8">
        <f t="shared" ref="F18:F20" si="3">E18/D18</f>
        <v>0.99999813911646318</v>
      </c>
      <c r="G18"/>
      <c r="H18" s="7">
        <v>7786290</v>
      </c>
      <c r="I18" s="7">
        <v>9515635</v>
      </c>
      <c r="J18" s="7">
        <v>8437257</v>
      </c>
      <c r="K18" s="8">
        <f t="shared" si="2"/>
        <v>0.8866730386358872</v>
      </c>
    </row>
    <row r="19" spans="1:11" ht="15" x14ac:dyDescent="0.25">
      <c r="A19" s="3" t="s">
        <v>13</v>
      </c>
      <c r="C19" s="7">
        <v>10000</v>
      </c>
      <c r="D19" s="7">
        <v>140570</v>
      </c>
      <c r="E19" s="7">
        <v>130323</v>
      </c>
      <c r="F19" s="8">
        <f t="shared" si="3"/>
        <v>0.9271039339830689</v>
      </c>
      <c r="G19"/>
      <c r="H19" s="7">
        <v>10000</v>
      </c>
      <c r="I19" s="7">
        <v>5000</v>
      </c>
      <c r="J19" s="7">
        <v>1240.6300000000001</v>
      </c>
      <c r="K19" s="8">
        <f t="shared" si="2"/>
        <v>0.24812600000000001</v>
      </c>
    </row>
    <row r="20" spans="1:11" ht="15.75" thickBot="1" x14ac:dyDescent="0.3">
      <c r="A20" s="9"/>
      <c r="B20" s="10" t="s">
        <v>14</v>
      </c>
      <c r="C20" s="11">
        <f>SUM(C17:C19)</f>
        <v>12141758</v>
      </c>
      <c r="D20" s="11">
        <f>SUM(D17:D19)</f>
        <v>14323028</v>
      </c>
      <c r="E20" s="11">
        <f>SUM(E17:E19)</f>
        <v>14312767</v>
      </c>
      <c r="F20" s="12">
        <f t="shared" si="3"/>
        <v>0.9992836012049966</v>
      </c>
      <c r="G20"/>
      <c r="H20" s="11">
        <f>SUM(H17:H19)</f>
        <v>14455688</v>
      </c>
      <c r="I20" s="11">
        <f>SUM(I17:I19)</f>
        <v>12180035</v>
      </c>
      <c r="J20" s="11">
        <f>SUM(J17:J19)</f>
        <v>11097895.23</v>
      </c>
      <c r="K20" s="12">
        <f t="shared" si="2"/>
        <v>0.91115462558194626</v>
      </c>
    </row>
    <row r="21" spans="1:11" ht="15.75" thickTop="1" x14ac:dyDescent="0.25">
      <c r="B21" s="48"/>
      <c r="C21" s="49"/>
      <c r="D21" s="49"/>
      <c r="E21" s="49"/>
      <c r="F21" s="50"/>
      <c r="G21"/>
      <c r="H21" s="49"/>
      <c r="I21" s="49"/>
      <c r="J21" s="49"/>
      <c r="K21" s="50"/>
    </row>
    <row r="22" spans="1:11" ht="15" x14ac:dyDescent="0.25">
      <c r="A22" s="5" t="s">
        <v>85</v>
      </c>
      <c r="B22" s="5"/>
      <c r="C22" s="6"/>
      <c r="D22" s="6"/>
      <c r="E22" s="6"/>
      <c r="F22" s="6"/>
      <c r="G22"/>
      <c r="H22" s="6"/>
      <c r="I22" s="6"/>
      <c r="J22" s="6"/>
      <c r="K22" s="6"/>
    </row>
    <row r="23" spans="1:11" ht="15" x14ac:dyDescent="0.25">
      <c r="A23" s="3" t="s">
        <v>93</v>
      </c>
      <c r="C23" s="7">
        <v>0</v>
      </c>
      <c r="D23" s="7">
        <v>4596880</v>
      </c>
      <c r="E23" s="7">
        <v>4596880</v>
      </c>
      <c r="F23" s="8" t="s">
        <v>48</v>
      </c>
      <c r="G23"/>
      <c r="H23" s="7">
        <v>0</v>
      </c>
      <c r="I23" s="7">
        <v>0</v>
      </c>
      <c r="J23" s="7">
        <v>0</v>
      </c>
      <c r="K23" s="8" t="s">
        <v>48</v>
      </c>
    </row>
    <row r="24" spans="1:11" ht="15" x14ac:dyDescent="0.25">
      <c r="A24" s="3" t="s">
        <v>83</v>
      </c>
      <c r="C24" s="7">
        <v>0</v>
      </c>
      <c r="D24" s="7">
        <v>891973</v>
      </c>
      <c r="E24" s="7">
        <v>891973</v>
      </c>
      <c r="F24" s="8" t="s">
        <v>48</v>
      </c>
      <c r="G24"/>
      <c r="H24" s="7">
        <v>0</v>
      </c>
      <c r="I24" s="7">
        <v>0</v>
      </c>
      <c r="J24" s="7">
        <v>0</v>
      </c>
      <c r="K24" s="8" t="s">
        <v>48</v>
      </c>
    </row>
    <row r="25" spans="1:11" ht="15" x14ac:dyDescent="0.25">
      <c r="A25" s="3" t="s">
        <v>84</v>
      </c>
      <c r="C25" s="7">
        <v>0</v>
      </c>
      <c r="D25" s="7">
        <v>-5358284</v>
      </c>
      <c r="E25" s="7">
        <v>-5358284</v>
      </c>
      <c r="F25" s="8" t="s">
        <v>48</v>
      </c>
      <c r="G25"/>
      <c r="H25" s="7">
        <v>0</v>
      </c>
      <c r="I25" s="7">
        <v>0</v>
      </c>
      <c r="J25" s="7">
        <v>0</v>
      </c>
      <c r="K25" s="8" t="s">
        <v>48</v>
      </c>
    </row>
    <row r="26" spans="1:11" ht="15.75" thickBot="1" x14ac:dyDescent="0.3">
      <c r="A26" s="9"/>
      <c r="B26" s="10" t="s">
        <v>87</v>
      </c>
      <c r="C26" s="11">
        <f>SUM(C23:C25)</f>
        <v>0</v>
      </c>
      <c r="D26" s="11">
        <f>SUM(D23:D25)</f>
        <v>130569</v>
      </c>
      <c r="E26" s="11">
        <f>SUM(E23:E25)</f>
        <v>130569</v>
      </c>
      <c r="F26" s="12" t="s">
        <v>48</v>
      </c>
      <c r="G26"/>
      <c r="H26" s="11">
        <f>SUM(H23:H25)</f>
        <v>0</v>
      </c>
      <c r="I26" s="11">
        <f>SUM(I23:I25)</f>
        <v>0</v>
      </c>
      <c r="J26" s="11">
        <f>SUM(J23:J25)</f>
        <v>0</v>
      </c>
      <c r="K26" s="12" t="s">
        <v>48</v>
      </c>
    </row>
    <row r="27" spans="1:11" ht="15.75" thickTop="1" x14ac:dyDescent="0.25">
      <c r="E27" s="7" t="s">
        <v>48</v>
      </c>
      <c r="G27"/>
      <c r="J27" s="7" t="s">
        <v>48</v>
      </c>
    </row>
    <row r="28" spans="1:11" ht="15" x14ac:dyDescent="0.25">
      <c r="A28" s="5" t="s">
        <v>17</v>
      </c>
      <c r="B28" s="5"/>
      <c r="C28" s="6"/>
      <c r="D28" s="6"/>
      <c r="E28" s="6"/>
      <c r="F28" s="6"/>
      <c r="G28"/>
      <c r="H28" s="6"/>
      <c r="I28" s="6"/>
      <c r="J28" s="6"/>
      <c r="K28" s="6"/>
    </row>
    <row r="29" spans="1:11" ht="15" x14ac:dyDescent="0.25">
      <c r="A29" s="3" t="s">
        <v>19</v>
      </c>
      <c r="C29" s="7">
        <v>0</v>
      </c>
      <c r="D29" s="7">
        <v>0</v>
      </c>
      <c r="E29" s="7">
        <v>0</v>
      </c>
      <c r="F29" s="13">
        <v>0</v>
      </c>
      <c r="G29"/>
      <c r="H29" s="7">
        <v>0</v>
      </c>
      <c r="I29" s="7">
        <v>0</v>
      </c>
      <c r="J29" s="7">
        <v>0</v>
      </c>
      <c r="K29" s="13">
        <v>0</v>
      </c>
    </row>
    <row r="30" spans="1:11" ht="15" x14ac:dyDescent="0.25">
      <c r="A30" s="3" t="s">
        <v>18</v>
      </c>
      <c r="C30" s="7">
        <v>0</v>
      </c>
      <c r="D30" s="7">
        <v>0</v>
      </c>
      <c r="E30" s="7">
        <v>0</v>
      </c>
      <c r="F30" s="13">
        <v>0</v>
      </c>
      <c r="G30"/>
      <c r="H30" s="7">
        <v>0</v>
      </c>
      <c r="I30" s="7">
        <v>0</v>
      </c>
      <c r="J30" s="7">
        <v>0</v>
      </c>
      <c r="K30" s="13">
        <v>0</v>
      </c>
    </row>
    <row r="31" spans="1:11" ht="15" x14ac:dyDescent="0.25">
      <c r="A31" s="3" t="s">
        <v>20</v>
      </c>
      <c r="C31" s="7">
        <v>0</v>
      </c>
      <c r="D31" s="7">
        <v>0</v>
      </c>
      <c r="E31" s="7">
        <v>0</v>
      </c>
      <c r="F31" s="13">
        <v>0</v>
      </c>
      <c r="G31"/>
      <c r="H31" s="7">
        <v>0</v>
      </c>
      <c r="I31" s="7">
        <v>0</v>
      </c>
      <c r="J31" s="7">
        <v>0</v>
      </c>
      <c r="K31" s="13">
        <v>0</v>
      </c>
    </row>
    <row r="32" spans="1:11" ht="15" x14ac:dyDescent="0.25">
      <c r="A32" s="3" t="s">
        <v>21</v>
      </c>
      <c r="C32" s="7">
        <v>0</v>
      </c>
      <c r="D32" s="7">
        <v>0</v>
      </c>
      <c r="E32" s="7">
        <v>0</v>
      </c>
      <c r="F32" s="13">
        <v>0</v>
      </c>
      <c r="G32"/>
      <c r="H32" s="7">
        <v>0</v>
      </c>
      <c r="I32" s="7">
        <v>0</v>
      </c>
      <c r="J32" s="7">
        <v>0</v>
      </c>
      <c r="K32" s="13">
        <v>0</v>
      </c>
    </row>
    <row r="33" spans="1:11" ht="15" x14ac:dyDescent="0.25">
      <c r="A33" s="3" t="s">
        <v>22</v>
      </c>
      <c r="C33" s="7">
        <f>C20</f>
        <v>12141758</v>
      </c>
      <c r="D33" s="7">
        <f>D20</f>
        <v>14323028</v>
      </c>
      <c r="E33" s="7">
        <f>E20</f>
        <v>14312767</v>
      </c>
      <c r="F33" s="8">
        <f t="shared" ref="F33" si="4">E33/D33</f>
        <v>0.9992836012049966</v>
      </c>
      <c r="G33"/>
      <c r="H33" s="7">
        <f>H20</f>
        <v>14455688</v>
      </c>
      <c r="I33" s="7">
        <f>I20</f>
        <v>12180035</v>
      </c>
      <c r="J33" s="7">
        <f>J20</f>
        <v>11097895.23</v>
      </c>
      <c r="K33" s="8">
        <f t="shared" ref="K33:K35" si="5">J33/I33</f>
        <v>0.91115462558194626</v>
      </c>
    </row>
    <row r="34" spans="1:11" ht="15" x14ac:dyDescent="0.25">
      <c r="A34" s="3" t="s">
        <v>86</v>
      </c>
      <c r="C34" s="7">
        <v>0</v>
      </c>
      <c r="D34" s="7">
        <f>-D26</f>
        <v>-130569</v>
      </c>
      <c r="E34" s="7">
        <f>-E26</f>
        <v>-130569</v>
      </c>
      <c r="F34" s="13">
        <v>0</v>
      </c>
      <c r="G34"/>
      <c r="H34" s="7">
        <v>0</v>
      </c>
      <c r="I34" s="7">
        <f>-I26</f>
        <v>0</v>
      </c>
      <c r="J34" s="7">
        <f>-J26</f>
        <v>0</v>
      </c>
      <c r="K34" s="8" t="s">
        <v>48</v>
      </c>
    </row>
    <row r="35" spans="1:11" ht="15.75" thickBot="1" x14ac:dyDescent="0.3">
      <c r="A35" s="9"/>
      <c r="B35" s="10" t="s">
        <v>88</v>
      </c>
      <c r="C35" s="11">
        <f t="shared" ref="C35:F35" si="6">SUM(C29:C34)</f>
        <v>12141758</v>
      </c>
      <c r="D35" s="11">
        <f t="shared" si="6"/>
        <v>14192459</v>
      </c>
      <c r="E35" s="11">
        <f t="shared" si="6"/>
        <v>14182198</v>
      </c>
      <c r="F35" s="12">
        <f t="shared" si="6"/>
        <v>0.9992836012049966</v>
      </c>
      <c r="G35"/>
      <c r="H35" s="11">
        <f t="shared" ref="H35" si="7">SUM(H29:H34)</f>
        <v>14455688</v>
      </c>
      <c r="I35" s="11">
        <f t="shared" ref="I35" si="8">SUM(I29:I34)</f>
        <v>12180035</v>
      </c>
      <c r="J35" s="11">
        <f t="shared" ref="J35" si="9">SUM(J29:J34)</f>
        <v>11097895.23</v>
      </c>
      <c r="K35" s="8">
        <f t="shared" si="5"/>
        <v>0.91115462558194626</v>
      </c>
    </row>
    <row r="36" spans="1:11" ht="15.75" thickTop="1" x14ac:dyDescent="0.25">
      <c r="G36"/>
    </row>
    <row r="37" spans="1:11" ht="15.75" thickBot="1" x14ac:dyDescent="0.3">
      <c r="A37" s="9" t="s">
        <v>23</v>
      </c>
      <c r="B37" s="9"/>
      <c r="C37" s="11">
        <f t="shared" ref="C37:D37" si="10">C14-C20+C26</f>
        <v>165442</v>
      </c>
      <c r="D37" s="11">
        <f t="shared" si="10"/>
        <v>-1452940</v>
      </c>
      <c r="E37" s="11">
        <f>E14-E20+E26</f>
        <v>-993986.80999999866</v>
      </c>
      <c r="F37" s="11"/>
      <c r="G37"/>
      <c r="H37" s="11">
        <f t="shared" ref="H37:J37" si="11">H14-H20+H26</f>
        <v>0</v>
      </c>
      <c r="I37" s="11">
        <f t="shared" si="11"/>
        <v>3532526</v>
      </c>
      <c r="J37" s="11">
        <f t="shared" si="11"/>
        <v>4936168.84</v>
      </c>
      <c r="K37" s="11"/>
    </row>
    <row r="38" spans="1:11" ht="15.75" thickTop="1" x14ac:dyDescent="0.25">
      <c r="G38"/>
    </row>
    <row r="39" spans="1:11" ht="15.75" thickBot="1" x14ac:dyDescent="0.3">
      <c r="A39" s="9" t="s">
        <v>24</v>
      </c>
      <c r="B39" s="9"/>
      <c r="C39" s="11"/>
      <c r="D39" s="11"/>
      <c r="E39" s="11">
        <v>17371296</v>
      </c>
      <c r="F39" s="11"/>
      <c r="G39"/>
      <c r="H39" s="11"/>
      <c r="I39" s="11"/>
      <c r="J39" s="11">
        <f>E39+J37</f>
        <v>22307464.84</v>
      </c>
      <c r="K39" s="11"/>
    </row>
    <row r="40" spans="1:11" ht="15.75" thickTop="1" x14ac:dyDescent="0.25">
      <c r="G40"/>
    </row>
    <row r="41" spans="1:11" x14ac:dyDescent="0.2">
      <c r="A41" s="3" t="s">
        <v>48</v>
      </c>
      <c r="E41" s="7" t="s">
        <v>48</v>
      </c>
    </row>
    <row r="43" spans="1:11" x14ac:dyDescent="0.2">
      <c r="J43" s="7" t="s">
        <v>48</v>
      </c>
    </row>
  </sheetData>
  <mergeCells count="5">
    <mergeCell ref="C5:F5"/>
    <mergeCell ref="H5:K5"/>
    <mergeCell ref="A1:K1"/>
    <mergeCell ref="A2:K2"/>
    <mergeCell ref="A3:K3"/>
  </mergeCells>
  <printOptions horizontalCentered="1"/>
  <pageMargins left="0.25" right="0.25" top="0.75" bottom="0.75" header="0.3" footer="0.3"/>
  <pageSetup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3"/>
  <sheetViews>
    <sheetView workbookViewId="0">
      <selection activeCell="C15" sqref="C15"/>
    </sheetView>
  </sheetViews>
  <sheetFormatPr defaultRowHeight="15" x14ac:dyDescent="0.25"/>
  <cols>
    <col min="1" max="1" width="15.28515625" customWidth="1"/>
    <col min="2" max="2" width="1.85546875" customWidth="1"/>
    <col min="3" max="3" width="20.42578125" customWidth="1"/>
    <col min="4" max="4" width="2" customWidth="1"/>
    <col min="5" max="5" width="13.5703125" customWidth="1"/>
    <col min="6" max="6" width="2.28515625" customWidth="1"/>
    <col min="7" max="7" width="19.140625" customWidth="1"/>
    <col min="8" max="8" width="1.85546875" customWidth="1"/>
    <col min="9" max="9" width="36" customWidth="1"/>
  </cols>
  <sheetData>
    <row r="1" spans="1:15" ht="15.75" x14ac:dyDescent="0.2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1"/>
      <c r="K1" s="1"/>
      <c r="L1" s="1"/>
      <c r="M1" s="1"/>
      <c r="N1" s="1"/>
      <c r="O1" s="1"/>
    </row>
    <row r="2" spans="1:15" ht="15.75" x14ac:dyDescent="0.25">
      <c r="A2" s="61" t="s">
        <v>101</v>
      </c>
      <c r="B2" s="61"/>
      <c r="C2" s="61"/>
      <c r="D2" s="61"/>
      <c r="E2" s="61"/>
      <c r="F2" s="61"/>
      <c r="G2" s="61"/>
      <c r="H2" s="61"/>
      <c r="I2" s="61"/>
      <c r="J2" s="1"/>
      <c r="K2" s="1"/>
      <c r="L2" s="1"/>
      <c r="M2" s="1"/>
      <c r="N2" s="1"/>
      <c r="O2" s="1"/>
    </row>
    <row r="3" spans="1: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45" t="s">
        <v>102</v>
      </c>
      <c r="B4" s="45"/>
      <c r="C4" s="47"/>
      <c r="D4" s="47"/>
    </row>
    <row r="5" spans="1:15" x14ac:dyDescent="0.25">
      <c r="A5" s="1" t="s">
        <v>26</v>
      </c>
      <c r="B5" s="1"/>
      <c r="E5" s="1" t="s">
        <v>27</v>
      </c>
      <c r="F5" s="1"/>
      <c r="G5" s="1" t="s">
        <v>28</v>
      </c>
      <c r="H5" s="1"/>
    </row>
    <row r="6" spans="1:15" x14ac:dyDescent="0.25">
      <c r="A6" s="14" t="s">
        <v>32</v>
      </c>
      <c r="B6" s="14"/>
      <c r="C6" s="14" t="s">
        <v>31</v>
      </c>
      <c r="D6" s="14"/>
      <c r="E6" s="14" t="s">
        <v>29</v>
      </c>
      <c r="F6" s="14"/>
      <c r="G6" s="14" t="s">
        <v>29</v>
      </c>
      <c r="H6" s="14"/>
      <c r="I6" s="15" t="s">
        <v>30</v>
      </c>
    </row>
    <row r="7" spans="1:15" x14ac:dyDescent="0.25">
      <c r="A7" s="1">
        <v>2003</v>
      </c>
      <c r="B7" s="1"/>
      <c r="C7" s="18">
        <v>20883645</v>
      </c>
      <c r="D7" s="2"/>
      <c r="E7" s="2">
        <v>0</v>
      </c>
      <c r="F7" s="2"/>
      <c r="G7" s="18">
        <f>C7</f>
        <v>20883645</v>
      </c>
      <c r="H7" s="2"/>
      <c r="I7" t="s">
        <v>35</v>
      </c>
    </row>
    <row r="8" spans="1:15" x14ac:dyDescent="0.25">
      <c r="A8" s="1">
        <v>2013</v>
      </c>
      <c r="B8" s="1"/>
      <c r="C8" s="18">
        <v>40160142</v>
      </c>
      <c r="D8" s="2"/>
      <c r="E8" s="2">
        <v>0</v>
      </c>
      <c r="F8" s="2"/>
      <c r="G8" s="18">
        <f t="shared" ref="G8:G11" si="0">C8</f>
        <v>40160142</v>
      </c>
      <c r="H8" s="2"/>
      <c r="I8" t="s">
        <v>36</v>
      </c>
    </row>
    <row r="9" spans="1:15" x14ac:dyDescent="0.25">
      <c r="A9" s="1" t="s">
        <v>33</v>
      </c>
      <c r="B9" s="1"/>
      <c r="C9" s="18">
        <v>16155000</v>
      </c>
      <c r="D9" s="2"/>
      <c r="E9" s="2">
        <v>0</v>
      </c>
      <c r="F9" s="2"/>
      <c r="G9" s="18">
        <f t="shared" si="0"/>
        <v>16155000</v>
      </c>
      <c r="H9" s="2"/>
      <c r="I9" t="s">
        <v>36</v>
      </c>
    </row>
    <row r="10" spans="1:15" x14ac:dyDescent="0.25">
      <c r="A10" s="1" t="s">
        <v>34</v>
      </c>
      <c r="B10" s="1"/>
      <c r="C10" s="18">
        <v>7268826</v>
      </c>
      <c r="D10" s="2"/>
      <c r="E10" s="2">
        <v>0</v>
      </c>
      <c r="F10" s="2"/>
      <c r="G10" s="18">
        <f t="shared" si="0"/>
        <v>7268826</v>
      </c>
      <c r="H10" s="2"/>
      <c r="I10" t="s">
        <v>36</v>
      </c>
    </row>
    <row r="11" spans="1:15" x14ac:dyDescent="0.25">
      <c r="A11" s="1">
        <v>2016</v>
      </c>
      <c r="B11" s="1"/>
      <c r="C11" s="18">
        <v>2115000</v>
      </c>
      <c r="D11" s="2"/>
      <c r="E11" s="2">
        <v>0</v>
      </c>
      <c r="F11" s="2"/>
      <c r="G11" s="18">
        <f t="shared" si="0"/>
        <v>2115000</v>
      </c>
      <c r="H11" s="2"/>
      <c r="I11" t="s">
        <v>36</v>
      </c>
    </row>
    <row r="12" spans="1:15" x14ac:dyDescent="0.25">
      <c r="A12" s="1">
        <v>2020</v>
      </c>
      <c r="B12" s="1"/>
      <c r="C12" s="18">
        <v>7661645</v>
      </c>
      <c r="D12" s="2"/>
      <c r="E12" s="2">
        <v>0</v>
      </c>
      <c r="F12" s="2"/>
      <c r="G12" s="18">
        <f t="shared" ref="G12:G15" si="1">C12</f>
        <v>7661645</v>
      </c>
      <c r="H12" s="2"/>
      <c r="I12" t="s">
        <v>36</v>
      </c>
    </row>
    <row r="13" spans="1:15" x14ac:dyDescent="0.25">
      <c r="A13" s="1" t="s">
        <v>89</v>
      </c>
      <c r="B13" s="1"/>
      <c r="C13" s="18">
        <v>112649286</v>
      </c>
      <c r="D13" s="2"/>
      <c r="E13" s="2">
        <v>0</v>
      </c>
      <c r="F13" s="2"/>
      <c r="G13" s="18">
        <f t="shared" si="1"/>
        <v>112649286</v>
      </c>
      <c r="H13" s="2"/>
      <c r="I13" t="s">
        <v>36</v>
      </c>
    </row>
    <row r="14" spans="1:15" x14ac:dyDescent="0.25">
      <c r="A14" s="1">
        <v>2022</v>
      </c>
      <c r="B14" s="1"/>
      <c r="C14" s="18">
        <v>4596880</v>
      </c>
      <c r="D14" s="2"/>
      <c r="E14" s="2">
        <v>0</v>
      </c>
      <c r="F14" s="2"/>
      <c r="G14" s="18">
        <f t="shared" si="1"/>
        <v>4596880</v>
      </c>
      <c r="H14" s="2"/>
      <c r="I14" t="s">
        <v>36</v>
      </c>
    </row>
    <row r="15" spans="1:15" x14ac:dyDescent="0.25">
      <c r="A15" s="1">
        <v>2022</v>
      </c>
      <c r="B15" s="1"/>
      <c r="C15" s="18">
        <v>112435000</v>
      </c>
      <c r="D15" s="2"/>
      <c r="E15" s="2"/>
      <c r="F15" s="2"/>
      <c r="G15" s="18">
        <f t="shared" si="1"/>
        <v>112435000</v>
      </c>
      <c r="H15" s="2"/>
      <c r="I15" t="s">
        <v>35</v>
      </c>
    </row>
    <row r="16" spans="1:15" x14ac:dyDescent="0.25">
      <c r="C16" s="19"/>
      <c r="G16" s="19" t="s">
        <v>48</v>
      </c>
    </row>
    <row r="17" spans="1:9" x14ac:dyDescent="0.25">
      <c r="A17" s="45" t="s">
        <v>103</v>
      </c>
      <c r="B17" s="45"/>
      <c r="C17" s="46"/>
      <c r="D17" s="47"/>
      <c r="G17" s="19"/>
    </row>
    <row r="18" spans="1:9" x14ac:dyDescent="0.25">
      <c r="A18" s="1" t="s">
        <v>26</v>
      </c>
      <c r="B18" s="1"/>
      <c r="C18" s="19"/>
      <c r="E18" s="1" t="s">
        <v>27</v>
      </c>
      <c r="F18" s="1"/>
      <c r="G18" s="43" t="s">
        <v>28</v>
      </c>
      <c r="H18" s="1"/>
    </row>
    <row r="19" spans="1:9" x14ac:dyDescent="0.25">
      <c r="A19" s="14" t="s">
        <v>32</v>
      </c>
      <c r="B19" s="14"/>
      <c r="C19" s="39" t="s">
        <v>31</v>
      </c>
      <c r="D19" s="14"/>
      <c r="E19" s="14" t="s">
        <v>29</v>
      </c>
      <c r="F19" s="14"/>
      <c r="G19" s="39" t="s">
        <v>29</v>
      </c>
      <c r="H19" s="14"/>
      <c r="I19" s="15" t="s">
        <v>30</v>
      </c>
    </row>
    <row r="20" spans="1:9" x14ac:dyDescent="0.25">
      <c r="A20" s="1">
        <v>2013</v>
      </c>
      <c r="B20" s="1"/>
      <c r="C20" s="18">
        <v>4610000</v>
      </c>
      <c r="D20" s="2"/>
      <c r="E20" s="2">
        <v>0</v>
      </c>
      <c r="F20" s="2"/>
      <c r="G20" s="18">
        <f>C20</f>
        <v>4610000</v>
      </c>
      <c r="H20" s="2"/>
      <c r="I20" t="s">
        <v>81</v>
      </c>
    </row>
    <row r="21" spans="1:9" x14ac:dyDescent="0.25">
      <c r="A21" s="1">
        <v>2015</v>
      </c>
      <c r="B21" s="1"/>
      <c r="C21" s="40">
        <v>1400000</v>
      </c>
      <c r="D21" s="26"/>
      <c r="E21" s="26">
        <v>0</v>
      </c>
      <c r="F21" s="26"/>
      <c r="G21" s="40">
        <f t="shared" ref="G21" si="2">C21</f>
        <v>1400000</v>
      </c>
      <c r="H21" s="26"/>
      <c r="I21" t="s">
        <v>37</v>
      </c>
    </row>
    <row r="22" spans="1:9" x14ac:dyDescent="0.25">
      <c r="A22" s="14">
        <v>2017</v>
      </c>
      <c r="B22" s="14"/>
      <c r="C22" s="41">
        <v>825000</v>
      </c>
      <c r="D22" s="16"/>
      <c r="E22" s="16">
        <v>0</v>
      </c>
      <c r="F22" s="16"/>
      <c r="G22" s="41">
        <f t="shared" ref="G22" si="3">C22</f>
        <v>825000</v>
      </c>
      <c r="H22" s="16"/>
      <c r="I22" s="15" t="s">
        <v>78</v>
      </c>
    </row>
    <row r="23" spans="1:9" x14ac:dyDescent="0.25">
      <c r="A23" s="1"/>
      <c r="B23" s="1"/>
      <c r="C23" s="40"/>
      <c r="D23" s="26"/>
      <c r="E23" s="26"/>
      <c r="F23" s="26"/>
      <c r="G23" s="40"/>
      <c r="H23" s="26"/>
    </row>
    <row r="24" spans="1:9" x14ac:dyDescent="0.25">
      <c r="A24" s="45" t="s">
        <v>104</v>
      </c>
      <c r="B24" s="45"/>
      <c r="C24" s="46"/>
      <c r="G24" s="19"/>
    </row>
    <row r="25" spans="1:9" x14ac:dyDescent="0.25">
      <c r="A25" s="1" t="s">
        <v>26</v>
      </c>
      <c r="B25" s="1"/>
      <c r="C25" s="19"/>
      <c r="E25" s="1" t="s">
        <v>27</v>
      </c>
      <c r="F25" s="1"/>
      <c r="G25" s="43" t="s">
        <v>28</v>
      </c>
      <c r="H25" s="1"/>
    </row>
    <row r="26" spans="1:9" x14ac:dyDescent="0.25">
      <c r="A26" s="14" t="s">
        <v>32</v>
      </c>
      <c r="B26" s="14"/>
      <c r="C26" s="39" t="s">
        <v>31</v>
      </c>
      <c r="D26" s="14"/>
      <c r="E26" s="14" t="s">
        <v>29</v>
      </c>
      <c r="F26" s="14"/>
      <c r="G26" s="39" t="s">
        <v>29</v>
      </c>
      <c r="H26" s="14"/>
      <c r="I26" s="15" t="s">
        <v>30</v>
      </c>
    </row>
    <row r="27" spans="1:9" x14ac:dyDescent="0.25">
      <c r="A27" s="36">
        <v>2019</v>
      </c>
      <c r="B27" s="36"/>
      <c r="C27" s="42">
        <v>758034</v>
      </c>
      <c r="D27" s="37"/>
      <c r="E27" s="37">
        <v>0</v>
      </c>
      <c r="F27" s="37"/>
      <c r="G27" s="42">
        <f>C27</f>
        <v>758034</v>
      </c>
      <c r="H27" s="37"/>
      <c r="I27" s="38" t="s">
        <v>80</v>
      </c>
    </row>
    <row r="28" spans="1:9" x14ac:dyDescent="0.25">
      <c r="A28" s="1"/>
      <c r="B28" s="1"/>
      <c r="C28" s="26"/>
      <c r="D28" s="26"/>
      <c r="E28" s="26"/>
      <c r="F28" s="26"/>
      <c r="G28" s="26"/>
      <c r="H28" s="26"/>
    </row>
    <row r="29" spans="1:9" x14ac:dyDescent="0.25">
      <c r="A29" s="27" t="s">
        <v>38</v>
      </c>
      <c r="B29" s="27"/>
    </row>
    <row r="30" spans="1:9" x14ac:dyDescent="0.25">
      <c r="E30" t="s">
        <v>70</v>
      </c>
      <c r="G30" t="s">
        <v>71</v>
      </c>
    </row>
    <row r="31" spans="1:9" x14ac:dyDescent="0.25">
      <c r="A31" t="s">
        <v>39</v>
      </c>
      <c r="E31" t="s">
        <v>41</v>
      </c>
      <c r="G31" t="s">
        <v>72</v>
      </c>
    </row>
    <row r="32" spans="1:9" x14ac:dyDescent="0.25">
      <c r="A32" t="s">
        <v>40</v>
      </c>
      <c r="E32" t="s">
        <v>42</v>
      </c>
      <c r="G32" t="s">
        <v>72</v>
      </c>
    </row>
    <row r="33" spans="1:7" x14ac:dyDescent="0.25">
      <c r="A33" t="s">
        <v>105</v>
      </c>
      <c r="E33" t="s">
        <v>106</v>
      </c>
      <c r="G33" t="s">
        <v>48</v>
      </c>
    </row>
  </sheetData>
  <mergeCells count="2">
    <mergeCell ref="A1:I1"/>
    <mergeCell ref="A2:I2"/>
  </mergeCells>
  <printOptions horizontalCentered="1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6"/>
  <sheetViews>
    <sheetView workbookViewId="0">
      <selection activeCell="F16" sqref="F16"/>
    </sheetView>
  </sheetViews>
  <sheetFormatPr defaultRowHeight="15" x14ac:dyDescent="0.25"/>
  <cols>
    <col min="1" max="1" width="18.5703125" customWidth="1"/>
    <col min="2" max="2" width="21.28515625" customWidth="1"/>
    <col min="3" max="3" width="11.5703125" customWidth="1"/>
    <col min="4" max="6" width="17.42578125" style="18" customWidth="1"/>
    <col min="7" max="7" width="14.28515625" bestFit="1" customWidth="1"/>
  </cols>
  <sheetData>
    <row r="1" spans="1:7" x14ac:dyDescent="0.25">
      <c r="A1" s="62" t="s">
        <v>0</v>
      </c>
      <c r="B1" s="62"/>
      <c r="C1" s="62"/>
      <c r="D1" s="62"/>
      <c r="E1" s="62"/>
      <c r="F1" s="62"/>
    </row>
    <row r="2" spans="1:7" x14ac:dyDescent="0.25">
      <c r="A2" s="58" t="s">
        <v>95</v>
      </c>
      <c r="B2" s="58"/>
      <c r="C2" s="58"/>
      <c r="D2" s="58"/>
      <c r="E2" s="58"/>
      <c r="F2" s="58"/>
    </row>
    <row r="3" spans="1:7" x14ac:dyDescent="0.25">
      <c r="A3" s="58" t="s">
        <v>107</v>
      </c>
      <c r="B3" s="58"/>
      <c r="C3" s="58"/>
      <c r="D3" s="58"/>
      <c r="E3" s="58"/>
      <c r="F3" s="58"/>
    </row>
    <row r="5" spans="1:7" x14ac:dyDescent="0.25">
      <c r="A5" s="47" t="s">
        <v>73</v>
      </c>
      <c r="B5" s="1" t="s">
        <v>50</v>
      </c>
      <c r="C5" s="1" t="s">
        <v>51</v>
      </c>
      <c r="D5" s="22" t="s">
        <v>67</v>
      </c>
      <c r="E5" s="22" t="s">
        <v>46</v>
      </c>
      <c r="F5" s="22" t="s">
        <v>47</v>
      </c>
    </row>
    <row r="6" spans="1:7" x14ac:dyDescent="0.25">
      <c r="A6" s="17" t="s">
        <v>49</v>
      </c>
      <c r="B6" s="17" t="s">
        <v>29</v>
      </c>
      <c r="C6" s="17" t="s">
        <v>52</v>
      </c>
      <c r="D6" s="23" t="s">
        <v>54</v>
      </c>
      <c r="E6" s="23" t="s">
        <v>54</v>
      </c>
      <c r="F6" s="23" t="s">
        <v>58</v>
      </c>
    </row>
    <row r="7" spans="1:7" x14ac:dyDescent="0.25">
      <c r="A7" s="1">
        <v>2003</v>
      </c>
      <c r="B7" s="18">
        <v>20883645</v>
      </c>
      <c r="C7" s="21">
        <v>46614</v>
      </c>
      <c r="D7" s="18">
        <v>2669134</v>
      </c>
      <c r="E7" s="18">
        <v>8480866.4000000004</v>
      </c>
      <c r="F7" s="18">
        <f>D7+E7</f>
        <v>11150000.4</v>
      </c>
    </row>
    <row r="8" spans="1:7" x14ac:dyDescent="0.25">
      <c r="A8" s="1" t="s">
        <v>61</v>
      </c>
      <c r="B8" s="18">
        <v>40160142</v>
      </c>
      <c r="C8" s="21">
        <v>45153</v>
      </c>
      <c r="D8" s="18">
        <v>595000</v>
      </c>
      <c r="E8" s="18">
        <f>17850-8925</f>
        <v>8925</v>
      </c>
      <c r="F8" s="18">
        <f t="shared" ref="F8:F11" si="0">D8+E8</f>
        <v>603925</v>
      </c>
    </row>
    <row r="9" spans="1:7" x14ac:dyDescent="0.25">
      <c r="A9" s="1" t="s">
        <v>63</v>
      </c>
      <c r="B9" s="18">
        <v>16155000</v>
      </c>
      <c r="C9" s="21">
        <v>50267</v>
      </c>
      <c r="D9" s="18">
        <v>11620000</v>
      </c>
      <c r="E9" s="18">
        <f>4111393.86-262628.13</f>
        <v>3848765.73</v>
      </c>
      <c r="F9" s="18">
        <f t="shared" si="0"/>
        <v>15468765.73</v>
      </c>
      <c r="G9" s="32" t="s">
        <v>48</v>
      </c>
    </row>
    <row r="10" spans="1:7" x14ac:dyDescent="0.25">
      <c r="A10" s="1" t="s">
        <v>64</v>
      </c>
      <c r="B10" s="18">
        <v>7268826</v>
      </c>
      <c r="C10" s="21">
        <v>53189</v>
      </c>
      <c r="D10" s="18">
        <v>1763826</v>
      </c>
      <c r="E10" s="18">
        <f>7144355.42-20803.13</f>
        <v>7123552.29</v>
      </c>
      <c r="F10" s="18">
        <f t="shared" si="0"/>
        <v>8887378.2899999991</v>
      </c>
      <c r="G10" s="32" t="s">
        <v>48</v>
      </c>
    </row>
    <row r="11" spans="1:7" x14ac:dyDescent="0.25">
      <c r="A11" s="1" t="s">
        <v>65</v>
      </c>
      <c r="B11" s="18">
        <v>2115000</v>
      </c>
      <c r="C11" s="21">
        <v>48441</v>
      </c>
      <c r="D11" s="18">
        <v>685000</v>
      </c>
      <c r="E11" s="18">
        <f>149800-12425</f>
        <v>137375</v>
      </c>
      <c r="F11" s="18">
        <f t="shared" si="0"/>
        <v>822375</v>
      </c>
    </row>
    <row r="12" spans="1:7" x14ac:dyDescent="0.25">
      <c r="A12" s="1" t="s">
        <v>90</v>
      </c>
      <c r="B12" s="18">
        <v>7661645</v>
      </c>
      <c r="C12" s="21">
        <v>49171</v>
      </c>
      <c r="D12" s="18">
        <v>7661645</v>
      </c>
      <c r="E12" s="18">
        <f>4103155.5-147400</f>
        <v>3955755.5</v>
      </c>
      <c r="F12" s="18">
        <f t="shared" ref="F12:F14" si="1">D12+E12</f>
        <v>11617400.5</v>
      </c>
    </row>
    <row r="13" spans="1:7" x14ac:dyDescent="0.25">
      <c r="A13" s="1" t="s">
        <v>89</v>
      </c>
      <c r="B13" s="18">
        <v>112649286</v>
      </c>
      <c r="C13" s="21">
        <v>53189</v>
      </c>
      <c r="D13" s="18">
        <v>108879286</v>
      </c>
      <c r="E13" s="18">
        <f>114432309.87-1427413.5</f>
        <v>113004896.37</v>
      </c>
      <c r="F13" s="18">
        <f t="shared" si="1"/>
        <v>221884182.37</v>
      </c>
    </row>
    <row r="14" spans="1:7" x14ac:dyDescent="0.25">
      <c r="A14" s="1">
        <v>2022</v>
      </c>
      <c r="B14" s="18">
        <v>4596880</v>
      </c>
      <c r="C14" s="21">
        <v>53189</v>
      </c>
      <c r="D14" s="18">
        <v>4596880</v>
      </c>
      <c r="E14" s="18">
        <f>3917520.2-89750</f>
        <v>3827770.2</v>
      </c>
      <c r="F14" s="18">
        <f t="shared" si="1"/>
        <v>8424650.1999999993</v>
      </c>
    </row>
    <row r="15" spans="1:7" x14ac:dyDescent="0.25">
      <c r="A15" s="1">
        <v>2022</v>
      </c>
      <c r="B15" s="18">
        <v>112435000</v>
      </c>
      <c r="C15" s="21">
        <v>20316</v>
      </c>
      <c r="D15" s="18">
        <v>112435000</v>
      </c>
      <c r="E15" s="18">
        <f>147719501.47-2511470.21</f>
        <v>145208031.25999999</v>
      </c>
      <c r="F15" s="18">
        <f t="shared" ref="F15" si="2">D15+E15</f>
        <v>257643031.25999999</v>
      </c>
    </row>
    <row r="16" spans="1:7" ht="15.75" thickBot="1" x14ac:dyDescent="0.3">
      <c r="A16" s="1" t="s">
        <v>76</v>
      </c>
      <c r="B16" s="24">
        <f>SUM(B7:B14)</f>
        <v>211490424</v>
      </c>
      <c r="D16" s="24">
        <f t="shared" ref="D16:E16" si="3">SUM(D7:D15)</f>
        <v>250905771</v>
      </c>
      <c r="E16" s="24">
        <f t="shared" si="3"/>
        <v>285595937.75</v>
      </c>
      <c r="F16" s="24">
        <f>SUM(F7:F15)</f>
        <v>536501708.75</v>
      </c>
    </row>
    <row r="17" spans="1:7" ht="15.75" thickTop="1" x14ac:dyDescent="0.25">
      <c r="E17" s="18" t="s">
        <v>48</v>
      </c>
      <c r="F17" s="18" t="s">
        <v>48</v>
      </c>
    </row>
    <row r="18" spans="1:7" x14ac:dyDescent="0.25">
      <c r="A18" s="47" t="s">
        <v>74</v>
      </c>
      <c r="E18" s="18" t="s">
        <v>48</v>
      </c>
      <c r="F18" s="18" t="s">
        <v>48</v>
      </c>
    </row>
    <row r="19" spans="1:7" x14ac:dyDescent="0.25">
      <c r="B19" s="1" t="s">
        <v>50</v>
      </c>
      <c r="C19" s="1" t="s">
        <v>51</v>
      </c>
      <c r="D19" s="22" t="s">
        <v>67</v>
      </c>
      <c r="E19" s="22" t="s">
        <v>46</v>
      </c>
      <c r="F19" s="22" t="s">
        <v>47</v>
      </c>
    </row>
    <row r="20" spans="1:7" x14ac:dyDescent="0.25">
      <c r="A20" s="17" t="s">
        <v>48</v>
      </c>
      <c r="B20" s="17" t="s">
        <v>29</v>
      </c>
      <c r="C20" s="17" t="s">
        <v>52</v>
      </c>
      <c r="D20" s="23" t="s">
        <v>54</v>
      </c>
      <c r="E20" s="23" t="s">
        <v>54</v>
      </c>
      <c r="F20" s="23" t="s">
        <v>58</v>
      </c>
    </row>
    <row r="21" spans="1:7" x14ac:dyDescent="0.25">
      <c r="A21" s="1">
        <v>2013</v>
      </c>
      <c r="B21" s="35">
        <v>4610000</v>
      </c>
      <c r="C21" s="21">
        <v>46996</v>
      </c>
      <c r="D21" s="18">
        <f>1995000-325000</f>
        <v>1670000</v>
      </c>
      <c r="E21" s="18">
        <f>144049.5-23740.5</f>
        <v>120309</v>
      </c>
      <c r="F21" s="18">
        <f t="shared" ref="F21:F23" si="4">D21+E21</f>
        <v>1790309</v>
      </c>
    </row>
    <row r="22" spans="1:7" x14ac:dyDescent="0.25">
      <c r="A22" s="1">
        <v>2015</v>
      </c>
      <c r="B22" s="35">
        <v>1400000</v>
      </c>
      <c r="C22" s="21">
        <v>45900</v>
      </c>
      <c r="D22" s="18">
        <v>455000</v>
      </c>
      <c r="E22" s="18">
        <f>22783.5-5664.75</f>
        <v>17118.75</v>
      </c>
      <c r="F22" s="18">
        <f t="shared" ref="F22" si="5">D22+E22</f>
        <v>472118.75</v>
      </c>
    </row>
    <row r="23" spans="1:7" x14ac:dyDescent="0.25">
      <c r="A23" s="1">
        <v>2017</v>
      </c>
      <c r="B23" s="35">
        <v>825000</v>
      </c>
      <c r="C23" s="21">
        <v>46600</v>
      </c>
      <c r="D23" s="18">
        <v>440000</v>
      </c>
      <c r="E23" s="18">
        <f>31239-5148</f>
        <v>26091</v>
      </c>
      <c r="F23" s="18">
        <f t="shared" si="4"/>
        <v>466091</v>
      </c>
      <c r="G23" t="s">
        <v>48</v>
      </c>
    </row>
    <row r="24" spans="1:7" ht="15.75" thickBot="1" x14ac:dyDescent="0.3">
      <c r="A24" s="1" t="s">
        <v>77</v>
      </c>
      <c r="B24" s="24">
        <f>SUM(B21:B23)</f>
        <v>6835000</v>
      </c>
      <c r="C24" t="s">
        <v>48</v>
      </c>
      <c r="D24" s="24">
        <f t="shared" ref="D24:F24" si="6">SUM(D21:D23)</f>
        <v>2565000</v>
      </c>
      <c r="E24" s="24">
        <f t="shared" si="6"/>
        <v>163518.75</v>
      </c>
      <c r="F24" s="24">
        <f t="shared" si="6"/>
        <v>2728518.75</v>
      </c>
    </row>
    <row r="25" spans="1:7" ht="15.75" thickTop="1" x14ac:dyDescent="0.25">
      <c r="D25" s="18" t="s">
        <v>48</v>
      </c>
      <c r="E25" s="18" t="s">
        <v>48</v>
      </c>
      <c r="F25" s="18" t="s">
        <v>48</v>
      </c>
    </row>
    <row r="26" spans="1:7" x14ac:dyDescent="0.25">
      <c r="A26" s="47" t="s">
        <v>94</v>
      </c>
      <c r="E26" s="22" t="s">
        <v>48</v>
      </c>
    </row>
    <row r="27" spans="1:7" x14ac:dyDescent="0.25">
      <c r="B27" s="1" t="s">
        <v>50</v>
      </c>
      <c r="C27" s="1" t="s">
        <v>51</v>
      </c>
      <c r="D27" s="22" t="s">
        <v>67</v>
      </c>
      <c r="E27" s="22" t="s">
        <v>46</v>
      </c>
      <c r="F27" s="22" t="s">
        <v>47</v>
      </c>
    </row>
    <row r="28" spans="1:7" x14ac:dyDescent="0.25">
      <c r="A28" s="17"/>
      <c r="B28" s="17" t="s">
        <v>29</v>
      </c>
      <c r="C28" s="17" t="s">
        <v>52</v>
      </c>
      <c r="D28" s="23" t="s">
        <v>54</v>
      </c>
      <c r="E28" s="23" t="s">
        <v>54</v>
      </c>
      <c r="F28" s="23" t="s">
        <v>58</v>
      </c>
    </row>
    <row r="29" spans="1:7" x14ac:dyDescent="0.25">
      <c r="A29" s="1">
        <v>2019</v>
      </c>
      <c r="B29" s="35">
        <v>758034</v>
      </c>
      <c r="C29" s="21">
        <v>46249</v>
      </c>
      <c r="D29" s="18">
        <v>448473</v>
      </c>
      <c r="E29" s="18">
        <v>21846</v>
      </c>
      <c r="F29" s="18">
        <f>D29+E29</f>
        <v>470319</v>
      </c>
    </row>
    <row r="30" spans="1:7" ht="15.75" thickBot="1" x14ac:dyDescent="0.3">
      <c r="A30" s="1" t="s">
        <v>66</v>
      </c>
      <c r="B30" s="24">
        <f>SUM(B29:B29)</f>
        <v>758034</v>
      </c>
      <c r="D30" s="24">
        <f>SUM(D29:D29)</f>
        <v>448473</v>
      </c>
      <c r="E30" s="24">
        <f>SUM(E29:E29)</f>
        <v>21846</v>
      </c>
      <c r="F30" s="24">
        <f>SUM(F29:F29)</f>
        <v>470319</v>
      </c>
    </row>
    <row r="31" spans="1:7" ht="15.75" thickTop="1" x14ac:dyDescent="0.25">
      <c r="E31" s="18" t="s">
        <v>48</v>
      </c>
    </row>
    <row r="33" spans="1:6" ht="15.75" thickBot="1" x14ac:dyDescent="0.3">
      <c r="A33" t="s">
        <v>75</v>
      </c>
      <c r="B33" s="25">
        <f>B24+B16+B30</f>
        <v>219083458</v>
      </c>
      <c r="D33" s="25">
        <f>D24+D16+D30</f>
        <v>253919244</v>
      </c>
      <c r="E33" s="25">
        <f>E24+E16+E30</f>
        <v>285781302.5</v>
      </c>
      <c r="F33" s="25">
        <f>F24+F16+F30</f>
        <v>539700546.5</v>
      </c>
    </row>
    <row r="35" spans="1:6" x14ac:dyDescent="0.25">
      <c r="A35" s="3" t="s">
        <v>48</v>
      </c>
      <c r="D35" s="18" t="s">
        <v>48</v>
      </c>
    </row>
    <row r="36" spans="1:6" x14ac:dyDescent="0.25">
      <c r="D36" s="18" t="s">
        <v>48</v>
      </c>
    </row>
  </sheetData>
  <mergeCells count="3">
    <mergeCell ref="A1:F1"/>
    <mergeCell ref="A3:F3"/>
    <mergeCell ref="A2:F2"/>
  </mergeCells>
  <printOptions horizontalCentered="1"/>
  <pageMargins left="0.7" right="0.7" top="0.75" bottom="0.75" header="0.3" footer="0.3"/>
  <pageSetup scale="9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0"/>
  <sheetViews>
    <sheetView topLeftCell="A6" workbookViewId="0">
      <selection activeCell="A41" sqref="A41"/>
    </sheetView>
  </sheetViews>
  <sheetFormatPr defaultRowHeight="15" x14ac:dyDescent="0.25"/>
  <cols>
    <col min="1" max="1" width="22.7109375" customWidth="1"/>
    <col min="2" max="2" width="21.28515625" customWidth="1"/>
    <col min="3" max="3" width="11.5703125" customWidth="1"/>
    <col min="4" max="8" width="17.42578125" style="18" customWidth="1"/>
    <col min="9" max="9" width="15.28515625" bestFit="1" customWidth="1"/>
    <col min="10" max="10" width="13.140625" customWidth="1"/>
  </cols>
  <sheetData>
    <row r="1" spans="1:9" ht="1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9" ht="15" customHeight="1" x14ac:dyDescent="0.25">
      <c r="A2" s="58" t="s">
        <v>96</v>
      </c>
      <c r="B2" s="58"/>
      <c r="C2" s="58"/>
      <c r="D2" s="58"/>
      <c r="E2" s="58"/>
      <c r="F2" s="58"/>
      <c r="G2" s="58"/>
      <c r="H2" s="58"/>
    </row>
    <row r="3" spans="1:9" x14ac:dyDescent="0.25">
      <c r="A3" s="58" t="s">
        <v>108</v>
      </c>
      <c r="B3" s="58"/>
      <c r="C3" s="58"/>
      <c r="D3" s="58"/>
      <c r="E3" s="58"/>
      <c r="F3" s="58"/>
      <c r="G3" s="58"/>
      <c r="H3" s="58"/>
    </row>
    <row r="5" spans="1:9" x14ac:dyDescent="0.25">
      <c r="A5" s="45" t="s">
        <v>73</v>
      </c>
      <c r="F5" s="22" t="s">
        <v>55</v>
      </c>
      <c r="H5" s="22" t="s">
        <v>58</v>
      </c>
    </row>
    <row r="6" spans="1:9" x14ac:dyDescent="0.25">
      <c r="B6" s="1" t="s">
        <v>50</v>
      </c>
      <c r="C6" s="1" t="s">
        <v>51</v>
      </c>
      <c r="D6" s="22" t="s">
        <v>53</v>
      </c>
      <c r="E6" s="22" t="s">
        <v>48</v>
      </c>
      <c r="F6" s="22" t="s">
        <v>56</v>
      </c>
      <c r="G6" s="22" t="s">
        <v>57</v>
      </c>
      <c r="H6" s="22" t="s">
        <v>59</v>
      </c>
    </row>
    <row r="7" spans="1:9" x14ac:dyDescent="0.25">
      <c r="A7" s="17" t="s">
        <v>49</v>
      </c>
      <c r="B7" s="17" t="s">
        <v>29</v>
      </c>
      <c r="C7" s="17" t="s">
        <v>52</v>
      </c>
      <c r="D7" s="23" t="s">
        <v>54</v>
      </c>
      <c r="E7" s="23" t="s">
        <v>109</v>
      </c>
      <c r="F7" s="23" t="s">
        <v>29</v>
      </c>
      <c r="G7" s="23" t="s">
        <v>54</v>
      </c>
      <c r="H7" s="51">
        <v>38624</v>
      </c>
    </row>
    <row r="8" spans="1:9" x14ac:dyDescent="0.25">
      <c r="A8" s="1">
        <v>2003</v>
      </c>
      <c r="B8" s="18">
        <v>20883645</v>
      </c>
      <c r="C8" s="21">
        <v>46614</v>
      </c>
      <c r="D8" s="18">
        <v>2669134</v>
      </c>
      <c r="E8" s="18">
        <v>0</v>
      </c>
      <c r="F8" s="18">
        <v>0</v>
      </c>
      <c r="G8" s="18">
        <f>D8+E8-F8</f>
        <v>2669134</v>
      </c>
      <c r="H8" s="18">
        <f>G8/H7</f>
        <v>69.105582021541011</v>
      </c>
    </row>
    <row r="9" spans="1:9" x14ac:dyDescent="0.25">
      <c r="A9" s="1" t="s">
        <v>60</v>
      </c>
      <c r="B9" s="18">
        <v>30574884</v>
      </c>
      <c r="C9" s="21">
        <v>44788</v>
      </c>
      <c r="D9" s="18">
        <v>503450</v>
      </c>
      <c r="E9" s="18">
        <v>0</v>
      </c>
      <c r="F9" s="18">
        <v>503450</v>
      </c>
      <c r="G9" s="18">
        <f t="shared" ref="G9:G18" si="0">D9+E9-F9</f>
        <v>0</v>
      </c>
      <c r="H9" s="18">
        <f>G9/H7</f>
        <v>0</v>
      </c>
    </row>
    <row r="10" spans="1:9" x14ac:dyDescent="0.25">
      <c r="A10" s="1" t="s">
        <v>61</v>
      </c>
      <c r="B10" s="18">
        <v>40160142</v>
      </c>
      <c r="C10" s="21">
        <v>45153</v>
      </c>
      <c r="D10" s="18">
        <v>1165000</v>
      </c>
      <c r="E10" s="18">
        <v>0</v>
      </c>
      <c r="F10" s="18">
        <v>570000</v>
      </c>
      <c r="G10" s="18">
        <f t="shared" si="0"/>
        <v>595000</v>
      </c>
      <c r="H10" s="18">
        <f>G10/H7</f>
        <v>15.404929577464788</v>
      </c>
    </row>
    <row r="11" spans="1:9" x14ac:dyDescent="0.25">
      <c r="A11" s="1" t="s">
        <v>62</v>
      </c>
      <c r="B11" s="18">
        <v>49374874</v>
      </c>
      <c r="C11" s="21">
        <v>53189</v>
      </c>
      <c r="D11" s="18">
        <v>65948</v>
      </c>
      <c r="E11" s="18">
        <v>0</v>
      </c>
      <c r="F11" s="18">
        <v>65948</v>
      </c>
      <c r="G11" s="18">
        <f t="shared" si="0"/>
        <v>0</v>
      </c>
      <c r="H11" s="18">
        <f>G11/H7</f>
        <v>0</v>
      </c>
    </row>
    <row r="12" spans="1:9" x14ac:dyDescent="0.25">
      <c r="A12" s="1" t="s">
        <v>63</v>
      </c>
      <c r="B12" s="18">
        <v>16155000</v>
      </c>
      <c r="C12" s="21">
        <v>50267</v>
      </c>
      <c r="D12" s="18">
        <v>11940000</v>
      </c>
      <c r="E12" s="18">
        <v>0</v>
      </c>
      <c r="F12" s="18">
        <v>320000</v>
      </c>
      <c r="G12" s="18">
        <f t="shared" si="0"/>
        <v>11620000</v>
      </c>
      <c r="H12" s="18">
        <f>G12/H7</f>
        <v>300.84921292460649</v>
      </c>
    </row>
    <row r="13" spans="1:9" x14ac:dyDescent="0.25">
      <c r="A13" s="1" t="s">
        <v>64</v>
      </c>
      <c r="B13" s="18">
        <v>7268826</v>
      </c>
      <c r="C13" s="21">
        <v>53189</v>
      </c>
      <c r="D13" s="18">
        <v>1763826</v>
      </c>
      <c r="E13" s="18">
        <v>0</v>
      </c>
      <c r="F13" s="18">
        <v>0</v>
      </c>
      <c r="G13" s="18">
        <f t="shared" si="0"/>
        <v>1763826</v>
      </c>
      <c r="H13" s="18">
        <f>G13/H7</f>
        <v>45.666580364540181</v>
      </c>
    </row>
    <row r="14" spans="1:9" x14ac:dyDescent="0.25">
      <c r="A14" s="1" t="s">
        <v>65</v>
      </c>
      <c r="B14" s="18">
        <v>2115000</v>
      </c>
      <c r="C14" s="21">
        <v>48441</v>
      </c>
      <c r="D14" s="18">
        <v>915000</v>
      </c>
      <c r="E14" s="18">
        <v>0</v>
      </c>
      <c r="F14" s="18">
        <v>230000</v>
      </c>
      <c r="G14" s="18">
        <f t="shared" si="0"/>
        <v>685000</v>
      </c>
      <c r="H14" s="18">
        <f>G14/H7</f>
        <v>17.735086992543497</v>
      </c>
    </row>
    <row r="15" spans="1:9" x14ac:dyDescent="0.25">
      <c r="A15" s="1" t="s">
        <v>90</v>
      </c>
      <c r="B15" s="18">
        <v>7661645</v>
      </c>
      <c r="C15" s="21">
        <v>49171</v>
      </c>
      <c r="D15" s="18">
        <v>7661645</v>
      </c>
      <c r="E15" s="18">
        <v>0</v>
      </c>
      <c r="F15" s="18">
        <v>0</v>
      </c>
      <c r="G15" s="18">
        <f t="shared" si="0"/>
        <v>7661645</v>
      </c>
      <c r="H15" s="18">
        <f>G15/H7</f>
        <v>198.36487676056339</v>
      </c>
      <c r="I15" s="18"/>
    </row>
    <row r="16" spans="1:9" x14ac:dyDescent="0.25">
      <c r="A16" s="1" t="s">
        <v>91</v>
      </c>
      <c r="B16" s="18">
        <v>112649286</v>
      </c>
      <c r="C16" s="21">
        <v>53189</v>
      </c>
      <c r="D16" s="18">
        <v>109849286</v>
      </c>
      <c r="E16" s="18">
        <v>0</v>
      </c>
      <c r="F16" s="18">
        <v>970000</v>
      </c>
      <c r="G16" s="18">
        <f t="shared" si="0"/>
        <v>108879286</v>
      </c>
      <c r="H16" s="18">
        <f>G16/H7</f>
        <v>2818.9541735708367</v>
      </c>
    </row>
    <row r="17" spans="1:9" x14ac:dyDescent="0.25">
      <c r="A17" s="1">
        <v>2022</v>
      </c>
      <c r="B17" s="18">
        <v>4596880</v>
      </c>
      <c r="C17" s="21">
        <v>53189</v>
      </c>
      <c r="D17" s="18">
        <v>4596880</v>
      </c>
      <c r="E17" s="18">
        <v>0</v>
      </c>
      <c r="F17" s="18">
        <v>0</v>
      </c>
      <c r="G17" s="18">
        <f t="shared" si="0"/>
        <v>4596880</v>
      </c>
      <c r="H17" s="18">
        <f>G17/H7</f>
        <v>119.01615575807787</v>
      </c>
    </row>
    <row r="18" spans="1:9" x14ac:dyDescent="0.25">
      <c r="A18" s="1">
        <v>2022</v>
      </c>
      <c r="B18" s="18">
        <v>112435000</v>
      </c>
      <c r="C18" s="21">
        <v>20316</v>
      </c>
      <c r="D18" s="18">
        <v>0</v>
      </c>
      <c r="E18" s="18">
        <v>112435000</v>
      </c>
      <c r="F18" s="18">
        <v>0</v>
      </c>
      <c r="G18" s="18">
        <f t="shared" si="0"/>
        <v>112435000</v>
      </c>
      <c r="H18" s="18">
        <f>G18/H7</f>
        <v>2911.0138773819385</v>
      </c>
    </row>
    <row r="19" spans="1:9" ht="15.75" thickBot="1" x14ac:dyDescent="0.3">
      <c r="A19" s="1" t="s">
        <v>66</v>
      </c>
      <c r="B19" s="24">
        <f t="shared" ref="B19:F19" si="1">SUM(B8:B18)</f>
        <v>403875182</v>
      </c>
      <c r="D19" s="24">
        <f t="shared" si="1"/>
        <v>141130169</v>
      </c>
      <c r="E19" s="24">
        <f t="shared" si="1"/>
        <v>112435000</v>
      </c>
      <c r="F19" s="24">
        <f t="shared" si="1"/>
        <v>2659398</v>
      </c>
      <c r="G19" s="24">
        <f>SUM(G8:G18)</f>
        <v>250905771</v>
      </c>
      <c r="H19" s="24">
        <f>SUM(H8:H18)</f>
        <v>6496.1104753521122</v>
      </c>
      <c r="I19" s="19" t="s">
        <v>48</v>
      </c>
    </row>
    <row r="20" spans="1:9" ht="15.75" thickTop="1" x14ac:dyDescent="0.25">
      <c r="F20" s="18" t="s">
        <v>48</v>
      </c>
      <c r="H20" s="18" t="s">
        <v>48</v>
      </c>
      <c r="I20" s="19" t="s">
        <v>48</v>
      </c>
    </row>
    <row r="21" spans="1:9" x14ac:dyDescent="0.25">
      <c r="A21" s="45" t="s">
        <v>74</v>
      </c>
      <c r="F21" s="22" t="s">
        <v>55</v>
      </c>
      <c r="H21" s="22" t="s">
        <v>58</v>
      </c>
    </row>
    <row r="22" spans="1:9" x14ac:dyDescent="0.25">
      <c r="B22" s="1" t="s">
        <v>50</v>
      </c>
      <c r="C22" s="1" t="s">
        <v>51</v>
      </c>
      <c r="D22" s="22" t="s">
        <v>53</v>
      </c>
      <c r="E22" s="22"/>
      <c r="F22" s="22" t="s">
        <v>56</v>
      </c>
      <c r="G22" s="22" t="s">
        <v>57</v>
      </c>
      <c r="H22" s="22" t="s">
        <v>59</v>
      </c>
    </row>
    <row r="23" spans="1:9" x14ac:dyDescent="0.25">
      <c r="A23" s="17" t="s">
        <v>48</v>
      </c>
      <c r="B23" s="17" t="s">
        <v>29</v>
      </c>
      <c r="C23" s="17" t="s">
        <v>52</v>
      </c>
      <c r="D23" s="23" t="s">
        <v>54</v>
      </c>
      <c r="E23" s="23" t="s">
        <v>109</v>
      </c>
      <c r="F23" s="23" t="s">
        <v>29</v>
      </c>
      <c r="G23" s="23" t="s">
        <v>54</v>
      </c>
      <c r="H23" s="51">
        <f>H7</f>
        <v>38624</v>
      </c>
    </row>
    <row r="24" spans="1:9" x14ac:dyDescent="0.25">
      <c r="A24" s="1">
        <v>2013</v>
      </c>
      <c r="B24" s="18">
        <v>4610000</v>
      </c>
      <c r="C24" s="21">
        <v>46996</v>
      </c>
      <c r="D24" s="18">
        <v>1995000</v>
      </c>
      <c r="E24" s="18">
        <v>0</v>
      </c>
      <c r="F24" s="18">
        <v>325000</v>
      </c>
      <c r="G24" s="18">
        <f t="shared" ref="G24:G26" si="2">D24+E24-F24</f>
        <v>1670000</v>
      </c>
      <c r="H24" s="18">
        <f>G24/H23</f>
        <v>43.237365368682681</v>
      </c>
    </row>
    <row r="25" spans="1:9" x14ac:dyDescent="0.25">
      <c r="A25" s="1">
        <v>2015</v>
      </c>
      <c r="B25" s="18">
        <v>1400000</v>
      </c>
      <c r="C25" s="21">
        <v>45900</v>
      </c>
      <c r="D25" s="18">
        <v>600000</v>
      </c>
      <c r="E25" s="18">
        <v>0</v>
      </c>
      <c r="F25" s="18">
        <v>145000</v>
      </c>
      <c r="G25" s="18">
        <f t="shared" si="2"/>
        <v>455000</v>
      </c>
      <c r="H25" s="18">
        <f>G25/H23</f>
        <v>11.780240265120133</v>
      </c>
    </row>
    <row r="26" spans="1:9" x14ac:dyDescent="0.25">
      <c r="A26" s="1">
        <v>2017</v>
      </c>
      <c r="B26" s="18">
        <v>825000</v>
      </c>
      <c r="C26" s="21">
        <v>46630</v>
      </c>
      <c r="D26" s="18">
        <v>520000</v>
      </c>
      <c r="E26" s="18">
        <v>0</v>
      </c>
      <c r="F26" s="18">
        <v>80000</v>
      </c>
      <c r="G26" s="18">
        <f t="shared" si="2"/>
        <v>440000</v>
      </c>
      <c r="H26" s="18">
        <f>G26/H23</f>
        <v>11.391880695940348</v>
      </c>
    </row>
    <row r="27" spans="1:9" ht="15.75" thickBot="1" x14ac:dyDescent="0.3">
      <c r="A27" s="1" t="s">
        <v>66</v>
      </c>
      <c r="B27" s="24">
        <f>SUM(B24:B26)</f>
        <v>6835000</v>
      </c>
      <c r="D27" s="24">
        <f t="shared" ref="D27:G27" si="3">SUM(D24:D26)</f>
        <v>3115000</v>
      </c>
      <c r="E27" s="24">
        <f>SUM(E24:E26)</f>
        <v>0</v>
      </c>
      <c r="F27" s="24">
        <f t="shared" si="3"/>
        <v>550000</v>
      </c>
      <c r="G27" s="24">
        <f t="shared" si="3"/>
        <v>2565000</v>
      </c>
      <c r="H27" s="24">
        <f>SUM(H24:H26)</f>
        <v>66.40948632974316</v>
      </c>
    </row>
    <row r="28" spans="1:9" ht="15.75" thickTop="1" x14ac:dyDescent="0.25"/>
    <row r="29" spans="1:9" x14ac:dyDescent="0.25">
      <c r="A29" s="45" t="s">
        <v>94</v>
      </c>
      <c r="F29" s="22" t="s">
        <v>55</v>
      </c>
      <c r="H29" s="22" t="s">
        <v>58</v>
      </c>
    </row>
    <row r="30" spans="1:9" x14ac:dyDescent="0.25">
      <c r="B30" s="1" t="s">
        <v>50</v>
      </c>
      <c r="C30" s="1" t="s">
        <v>51</v>
      </c>
      <c r="D30" s="22" t="s">
        <v>53</v>
      </c>
      <c r="E30" s="22"/>
      <c r="F30" s="22" t="s">
        <v>56</v>
      </c>
      <c r="G30" s="22" t="s">
        <v>57</v>
      </c>
      <c r="H30" s="22" t="s">
        <v>59</v>
      </c>
    </row>
    <row r="31" spans="1:9" x14ac:dyDescent="0.25">
      <c r="A31" s="17"/>
      <c r="B31" s="17" t="s">
        <v>29</v>
      </c>
      <c r="C31" s="17" t="s">
        <v>52</v>
      </c>
      <c r="D31" s="23" t="s">
        <v>54</v>
      </c>
      <c r="E31" s="23" t="s">
        <v>109</v>
      </c>
      <c r="F31" s="23" t="s">
        <v>29</v>
      </c>
      <c r="G31" s="23" t="s">
        <v>54</v>
      </c>
      <c r="H31" s="51">
        <f>H7</f>
        <v>38624</v>
      </c>
    </row>
    <row r="32" spans="1:9" x14ac:dyDescent="0.25">
      <c r="A32" s="1">
        <v>2019</v>
      </c>
      <c r="B32" s="35">
        <v>758034</v>
      </c>
      <c r="C32" s="21">
        <v>46249</v>
      </c>
      <c r="D32" s="18">
        <f>657251-103151</f>
        <v>554100</v>
      </c>
      <c r="E32" s="18">
        <v>0</v>
      </c>
      <c r="F32" s="18">
        <v>105626</v>
      </c>
      <c r="G32" s="18">
        <f t="shared" ref="G32" si="4">D32+E32-F32</f>
        <v>448474</v>
      </c>
      <c r="H32" s="18">
        <f>G32/H31</f>
        <v>11.61127796188898</v>
      </c>
    </row>
    <row r="33" spans="1:8" ht="15.75" thickBot="1" x14ac:dyDescent="0.3">
      <c r="A33" s="1" t="s">
        <v>66</v>
      </c>
      <c r="B33" s="24">
        <f>SUM(B32:B32)</f>
        <v>758034</v>
      </c>
      <c r="D33" s="24">
        <f>SUM(D32:D32)</f>
        <v>554100</v>
      </c>
      <c r="E33" s="24">
        <f>E32</f>
        <v>0</v>
      </c>
      <c r="F33" s="24">
        <f>SUM(F32:F32)</f>
        <v>105626</v>
      </c>
      <c r="G33" s="24">
        <f>SUM(G32:G32)</f>
        <v>448474</v>
      </c>
      <c r="H33" s="34">
        <f>SUM(H32:H32)</f>
        <v>11.61127796188898</v>
      </c>
    </row>
    <row r="34" spans="1:8" ht="15.75" thickTop="1" x14ac:dyDescent="0.25">
      <c r="D34" s="18" t="s">
        <v>48</v>
      </c>
      <c r="G34" s="18" t="s">
        <v>48</v>
      </c>
    </row>
    <row r="35" spans="1:8" ht="15.75" thickBot="1" x14ac:dyDescent="0.3">
      <c r="A35" s="27" t="s">
        <v>75</v>
      </c>
      <c r="B35" s="28">
        <f>B19+B27+B33</f>
        <v>411468216</v>
      </c>
      <c r="C35" s="27"/>
      <c r="D35" s="28">
        <f>D19+D27+D33</f>
        <v>144799269</v>
      </c>
      <c r="E35" s="28">
        <f>E19+E27+E33</f>
        <v>112435000</v>
      </c>
      <c r="F35" s="28">
        <f>F19+F27+F33</f>
        <v>3315024</v>
      </c>
      <c r="G35" s="28">
        <f>G19+G27+G33</f>
        <v>253919245</v>
      </c>
      <c r="H35" s="28">
        <f>H19+H27+H33</f>
        <v>6574.1312396437443</v>
      </c>
    </row>
    <row r="37" spans="1:8" x14ac:dyDescent="0.25">
      <c r="A37" t="s">
        <v>82</v>
      </c>
      <c r="G37" s="18" t="s">
        <v>48</v>
      </c>
      <c r="H37" s="18" t="s">
        <v>48</v>
      </c>
    </row>
    <row r="38" spans="1:8" x14ac:dyDescent="0.25">
      <c r="A38" t="s">
        <v>92</v>
      </c>
    </row>
    <row r="39" spans="1:8" x14ac:dyDescent="0.25">
      <c r="A39" s="3"/>
    </row>
    <row r="40" spans="1:8" x14ac:dyDescent="0.25">
      <c r="A40" t="s">
        <v>48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8"/>
  <sheetViews>
    <sheetView topLeftCell="A6" workbookViewId="0">
      <selection activeCell="A39" sqref="A39:XFD39"/>
    </sheetView>
  </sheetViews>
  <sheetFormatPr defaultRowHeight="15" x14ac:dyDescent="0.25"/>
  <cols>
    <col min="1" max="1" width="18.85546875" customWidth="1"/>
    <col min="2" max="2" width="21.28515625" customWidth="1"/>
    <col min="3" max="3" width="11.5703125" customWidth="1"/>
    <col min="4" max="8" width="17.42578125" style="18" customWidth="1"/>
    <col min="9" max="9" width="11.5703125" bestFit="1" customWidth="1"/>
  </cols>
  <sheetData>
    <row r="1" spans="1:8" ht="15" customHeight="1" x14ac:dyDescent="0.25">
      <c r="A1" s="62" t="s">
        <v>0</v>
      </c>
      <c r="B1" s="62"/>
      <c r="C1" s="62"/>
      <c r="D1" s="62"/>
      <c r="E1" s="62"/>
      <c r="F1" s="62"/>
      <c r="G1" s="62"/>
      <c r="H1" s="62"/>
    </row>
    <row r="2" spans="1:8" ht="15" customHeight="1" x14ac:dyDescent="0.25">
      <c r="A2" s="58" t="s">
        <v>97</v>
      </c>
      <c r="B2" s="58"/>
      <c r="C2" s="58"/>
      <c r="D2" s="58"/>
      <c r="E2" s="58"/>
      <c r="F2" s="58"/>
      <c r="G2" s="58"/>
      <c r="H2" s="58"/>
    </row>
    <row r="3" spans="1:8" x14ac:dyDescent="0.25">
      <c r="A3" s="58" t="s">
        <v>110</v>
      </c>
      <c r="B3" s="58"/>
      <c r="C3" s="58"/>
      <c r="D3" s="58"/>
      <c r="E3" s="58"/>
      <c r="F3" s="58"/>
      <c r="G3" s="58"/>
      <c r="H3" s="58"/>
    </row>
    <row r="5" spans="1:8" x14ac:dyDescent="0.25">
      <c r="A5" s="27" t="s">
        <v>73</v>
      </c>
      <c r="F5" s="22" t="s">
        <v>55</v>
      </c>
      <c r="H5" s="22" t="s">
        <v>58</v>
      </c>
    </row>
    <row r="6" spans="1:8" x14ac:dyDescent="0.25">
      <c r="B6" s="1" t="s">
        <v>50</v>
      </c>
      <c r="C6" s="1" t="s">
        <v>51</v>
      </c>
      <c r="D6" s="22" t="s">
        <v>53</v>
      </c>
      <c r="E6" s="22"/>
      <c r="F6" s="22" t="s">
        <v>56</v>
      </c>
      <c r="G6" s="22" t="s">
        <v>57</v>
      </c>
      <c r="H6" s="22" t="s">
        <v>79</v>
      </c>
    </row>
    <row r="7" spans="1:8" x14ac:dyDescent="0.25">
      <c r="A7" s="17" t="s">
        <v>49</v>
      </c>
      <c r="B7" s="17" t="s">
        <v>29</v>
      </c>
      <c r="C7" s="17" t="s">
        <v>52</v>
      </c>
      <c r="D7" s="23" t="s">
        <v>54</v>
      </c>
      <c r="E7" s="23" t="s">
        <v>109</v>
      </c>
      <c r="F7" s="23" t="s">
        <v>29</v>
      </c>
      <c r="G7" s="23" t="s">
        <v>54</v>
      </c>
      <c r="H7" s="52">
        <v>6972</v>
      </c>
    </row>
    <row r="8" spans="1:8" x14ac:dyDescent="0.25">
      <c r="A8" s="1">
        <v>2003</v>
      </c>
      <c r="B8" s="18">
        <v>20883645</v>
      </c>
      <c r="C8" s="21">
        <v>46614</v>
      </c>
      <c r="D8" s="18">
        <v>2669134</v>
      </c>
      <c r="E8" s="18">
        <v>0</v>
      </c>
      <c r="F8" s="18">
        <v>0</v>
      </c>
      <c r="G8" s="18">
        <f>D8+E8-F8</f>
        <v>2669134</v>
      </c>
      <c r="H8" s="18">
        <f>G8/H7</f>
        <v>382.83620195065976</v>
      </c>
    </row>
    <row r="9" spans="1:8" x14ac:dyDescent="0.25">
      <c r="A9" s="1" t="s">
        <v>60</v>
      </c>
      <c r="B9" s="18">
        <v>30574884</v>
      </c>
      <c r="C9" s="21">
        <v>48806</v>
      </c>
      <c r="D9" s="18">
        <v>503450</v>
      </c>
      <c r="E9" s="18">
        <v>0</v>
      </c>
      <c r="F9" s="18">
        <v>503450</v>
      </c>
      <c r="G9" s="18">
        <f t="shared" ref="G9:G18" si="0">D9+E9-F9</f>
        <v>0</v>
      </c>
      <c r="H9" s="18">
        <f>G9/H7</f>
        <v>0</v>
      </c>
    </row>
    <row r="10" spans="1:8" x14ac:dyDescent="0.25">
      <c r="A10" s="1" t="s">
        <v>61</v>
      </c>
      <c r="B10" s="18">
        <v>40160142</v>
      </c>
      <c r="C10" s="21">
        <v>53189</v>
      </c>
      <c r="D10" s="18">
        <v>1165000</v>
      </c>
      <c r="E10" s="18">
        <v>0</v>
      </c>
      <c r="F10" s="18">
        <v>570000</v>
      </c>
      <c r="G10" s="18">
        <f t="shared" si="0"/>
        <v>595000</v>
      </c>
      <c r="H10" s="18">
        <f>G10/H7</f>
        <v>85.341365461847388</v>
      </c>
    </row>
    <row r="11" spans="1:8" x14ac:dyDescent="0.25">
      <c r="A11" s="1" t="s">
        <v>62</v>
      </c>
      <c r="B11" s="18">
        <v>49374874</v>
      </c>
      <c r="C11" s="21">
        <v>53189</v>
      </c>
      <c r="D11" s="18">
        <v>65948</v>
      </c>
      <c r="E11" s="18">
        <v>0</v>
      </c>
      <c r="F11" s="18">
        <v>65948</v>
      </c>
      <c r="G11" s="18">
        <f t="shared" si="0"/>
        <v>0</v>
      </c>
      <c r="H11" s="18">
        <f>G11/H7</f>
        <v>0</v>
      </c>
    </row>
    <row r="12" spans="1:8" x14ac:dyDescent="0.25">
      <c r="A12" s="1" t="s">
        <v>63</v>
      </c>
      <c r="B12" s="18">
        <v>16155000</v>
      </c>
      <c r="C12" s="21">
        <v>50267</v>
      </c>
      <c r="D12" s="18">
        <v>11940000</v>
      </c>
      <c r="E12" s="18">
        <v>0</v>
      </c>
      <c r="F12" s="18">
        <v>320000</v>
      </c>
      <c r="G12" s="18">
        <f t="shared" si="0"/>
        <v>11620000</v>
      </c>
      <c r="H12" s="18">
        <f>G12/H7</f>
        <v>1666.6666666666667</v>
      </c>
    </row>
    <row r="13" spans="1:8" x14ac:dyDescent="0.25">
      <c r="A13" s="1" t="s">
        <v>64</v>
      </c>
      <c r="B13" s="18">
        <v>7268826</v>
      </c>
      <c r="C13" s="21">
        <v>53189</v>
      </c>
      <c r="D13" s="18">
        <v>1763826</v>
      </c>
      <c r="E13" s="18">
        <v>0</v>
      </c>
      <c r="F13" s="18">
        <v>0</v>
      </c>
      <c r="G13" s="18">
        <f t="shared" si="0"/>
        <v>1763826</v>
      </c>
      <c r="H13" s="18">
        <f>G13/H7</f>
        <v>252.98709122203098</v>
      </c>
    </row>
    <row r="14" spans="1:8" x14ac:dyDescent="0.25">
      <c r="A14" s="1" t="s">
        <v>65</v>
      </c>
      <c r="B14" s="18">
        <v>2115000</v>
      </c>
      <c r="C14" s="21">
        <v>48441</v>
      </c>
      <c r="D14" s="18">
        <v>915000</v>
      </c>
      <c r="E14" s="18">
        <v>0</v>
      </c>
      <c r="F14" s="18">
        <v>230000</v>
      </c>
      <c r="G14" s="18">
        <f t="shared" si="0"/>
        <v>685000</v>
      </c>
      <c r="H14" s="18">
        <f>G14/H7</f>
        <v>98.250143430866316</v>
      </c>
    </row>
    <row r="15" spans="1:8" x14ac:dyDescent="0.25">
      <c r="A15" s="1" t="s">
        <v>90</v>
      </c>
      <c r="B15" s="18">
        <v>7661645</v>
      </c>
      <c r="C15" s="21">
        <v>49171</v>
      </c>
      <c r="D15" s="18">
        <v>7661645</v>
      </c>
      <c r="E15" s="18">
        <v>0</v>
      </c>
      <c r="F15" s="18">
        <v>0</v>
      </c>
      <c r="G15" s="18">
        <f t="shared" si="0"/>
        <v>7661645</v>
      </c>
      <c r="H15" s="18">
        <f>G15/H7</f>
        <v>1098.916379804934</v>
      </c>
    </row>
    <row r="16" spans="1:8" x14ac:dyDescent="0.25">
      <c r="A16" s="1" t="s">
        <v>91</v>
      </c>
      <c r="B16" s="18">
        <v>112649286</v>
      </c>
      <c r="C16" s="21">
        <v>53189</v>
      </c>
      <c r="D16" s="18">
        <v>109849286</v>
      </c>
      <c r="E16" s="18">
        <v>0</v>
      </c>
      <c r="F16" s="18">
        <v>970000</v>
      </c>
      <c r="G16" s="18">
        <f t="shared" si="0"/>
        <v>108879286</v>
      </c>
      <c r="H16" s="18">
        <f>G16/H7</f>
        <v>15616.650315547906</v>
      </c>
    </row>
    <row r="17" spans="1:9" x14ac:dyDescent="0.25">
      <c r="A17" s="1">
        <v>2022</v>
      </c>
      <c r="B17" s="18">
        <v>4596880</v>
      </c>
      <c r="C17" s="21">
        <v>53189</v>
      </c>
      <c r="D17" s="18">
        <v>4596880</v>
      </c>
      <c r="E17" s="18">
        <v>0</v>
      </c>
      <c r="F17" s="18">
        <v>0</v>
      </c>
      <c r="G17" s="18">
        <f t="shared" si="0"/>
        <v>4596880</v>
      </c>
      <c r="H17" s="18">
        <f>G17/H7</f>
        <v>659.3344807802639</v>
      </c>
    </row>
    <row r="18" spans="1:9" x14ac:dyDescent="0.25">
      <c r="A18" s="1">
        <v>2022</v>
      </c>
      <c r="B18" s="18">
        <v>112435000</v>
      </c>
      <c r="C18" s="21">
        <v>20316</v>
      </c>
      <c r="D18" s="18">
        <v>0</v>
      </c>
      <c r="E18" s="18">
        <v>112435000</v>
      </c>
      <c r="F18" s="18">
        <v>0</v>
      </c>
      <c r="G18" s="18">
        <f t="shared" si="0"/>
        <v>112435000</v>
      </c>
      <c r="H18" s="2">
        <f>G18/H7</f>
        <v>16126.649454962708</v>
      </c>
    </row>
    <row r="19" spans="1:9" ht="15.75" thickBot="1" x14ac:dyDescent="0.3">
      <c r="A19" s="1" t="s">
        <v>66</v>
      </c>
      <c r="B19" s="24">
        <f>SUM(B8:B18)</f>
        <v>403875182</v>
      </c>
      <c r="D19" s="24">
        <f>SUM(D8:D18)</f>
        <v>141130169</v>
      </c>
      <c r="E19" s="24">
        <f t="shared" ref="E19:H19" si="1">SUM(E8:E18)</f>
        <v>112435000</v>
      </c>
      <c r="F19" s="24">
        <f t="shared" si="1"/>
        <v>2659398</v>
      </c>
      <c r="G19" s="24">
        <f>SUM(G8:G18)</f>
        <v>250905771</v>
      </c>
      <c r="H19" s="24">
        <f t="shared" si="1"/>
        <v>35987.632099827882</v>
      </c>
      <c r="I19" s="53" t="s">
        <v>48</v>
      </c>
    </row>
    <row r="20" spans="1:9" ht="15.75" thickTop="1" x14ac:dyDescent="0.25"/>
    <row r="21" spans="1:9" x14ac:dyDescent="0.25">
      <c r="A21" s="27" t="s">
        <v>74</v>
      </c>
      <c r="F21" s="22" t="s">
        <v>55</v>
      </c>
      <c r="H21" s="22" t="s">
        <v>58</v>
      </c>
    </row>
    <row r="22" spans="1:9" x14ac:dyDescent="0.25">
      <c r="B22" s="1" t="s">
        <v>50</v>
      </c>
      <c r="C22" s="1" t="s">
        <v>51</v>
      </c>
      <c r="D22" s="22" t="s">
        <v>53</v>
      </c>
      <c r="E22" s="22"/>
      <c r="F22" s="22" t="s">
        <v>56</v>
      </c>
      <c r="G22" s="22" t="s">
        <v>57</v>
      </c>
      <c r="H22" s="22" t="s">
        <v>79</v>
      </c>
    </row>
    <row r="23" spans="1:9" x14ac:dyDescent="0.25">
      <c r="A23" s="17"/>
      <c r="B23" s="17" t="s">
        <v>29</v>
      </c>
      <c r="C23" s="17" t="s">
        <v>52</v>
      </c>
      <c r="D23" s="23" t="s">
        <v>54</v>
      </c>
      <c r="E23" s="23" t="s">
        <v>109</v>
      </c>
      <c r="F23" s="23" t="s">
        <v>29</v>
      </c>
      <c r="G23" s="23" t="s">
        <v>54</v>
      </c>
      <c r="H23" s="33">
        <f>H7</f>
        <v>6972</v>
      </c>
    </row>
    <row r="24" spans="1:9" x14ac:dyDescent="0.25">
      <c r="A24" s="1">
        <v>2013</v>
      </c>
      <c r="B24" s="35">
        <v>4610000</v>
      </c>
      <c r="C24" s="21">
        <v>46996</v>
      </c>
      <c r="D24" s="18">
        <v>1995000</v>
      </c>
      <c r="F24" s="18">
        <v>325000</v>
      </c>
      <c r="G24" s="18">
        <f>D24-F24</f>
        <v>1670000</v>
      </c>
      <c r="H24" s="18">
        <f>G24/H23</f>
        <v>239.52954675846243</v>
      </c>
    </row>
    <row r="25" spans="1:9" x14ac:dyDescent="0.25">
      <c r="A25" s="1">
        <v>2015</v>
      </c>
      <c r="B25" s="35">
        <v>1400000</v>
      </c>
      <c r="C25" s="21">
        <v>45900</v>
      </c>
      <c r="D25" s="18">
        <v>600000</v>
      </c>
      <c r="F25" s="18">
        <v>145000</v>
      </c>
      <c r="G25" s="18">
        <f>D25-F25</f>
        <v>455000</v>
      </c>
      <c r="H25" s="18">
        <f>G25/H23</f>
        <v>65.261044176706832</v>
      </c>
    </row>
    <row r="26" spans="1:9" x14ac:dyDescent="0.25">
      <c r="A26" s="1">
        <v>2017</v>
      </c>
      <c r="B26" s="35">
        <v>825000</v>
      </c>
      <c r="C26" s="21">
        <v>46630</v>
      </c>
      <c r="D26" s="18">
        <v>520000</v>
      </c>
      <c r="F26" s="18">
        <v>80000</v>
      </c>
      <c r="G26" s="18">
        <f>D26-F26</f>
        <v>440000</v>
      </c>
      <c r="H26" s="18">
        <f>G26/H23</f>
        <v>63.10958118187034</v>
      </c>
    </row>
    <row r="27" spans="1:9" ht="15.75" thickBot="1" x14ac:dyDescent="0.3">
      <c r="A27" s="1" t="s">
        <v>66</v>
      </c>
      <c r="B27" s="24">
        <f>SUM(B24:B26)</f>
        <v>6835000</v>
      </c>
      <c r="D27" s="24">
        <f>SUM(D24:D26)</f>
        <v>3115000</v>
      </c>
      <c r="E27" s="24"/>
      <c r="F27" s="24">
        <f t="shared" ref="F27:G27" si="2">SUM(F24:F26)</f>
        <v>550000</v>
      </c>
      <c r="G27" s="24">
        <f t="shared" si="2"/>
        <v>2565000</v>
      </c>
      <c r="H27" s="34">
        <f>SUM(H24:H26)</f>
        <v>367.90017211703957</v>
      </c>
    </row>
    <row r="28" spans="1:9" ht="15.75" thickTop="1" x14ac:dyDescent="0.25"/>
    <row r="29" spans="1:9" x14ac:dyDescent="0.25">
      <c r="A29" s="27" t="s">
        <v>94</v>
      </c>
      <c r="F29" s="22" t="s">
        <v>55</v>
      </c>
      <c r="H29" s="22" t="s">
        <v>58</v>
      </c>
    </row>
    <row r="30" spans="1:9" x14ac:dyDescent="0.25">
      <c r="B30" s="1" t="s">
        <v>50</v>
      </c>
      <c r="C30" s="1" t="s">
        <v>51</v>
      </c>
      <c r="D30" s="22" t="s">
        <v>53</v>
      </c>
      <c r="E30" s="22"/>
      <c r="F30" s="22" t="s">
        <v>56</v>
      </c>
      <c r="G30" s="22" t="s">
        <v>57</v>
      </c>
      <c r="H30" s="22" t="s">
        <v>79</v>
      </c>
    </row>
    <row r="31" spans="1:9" x14ac:dyDescent="0.25">
      <c r="A31" s="17"/>
      <c r="B31" s="17" t="s">
        <v>29</v>
      </c>
      <c r="C31" s="17" t="s">
        <v>52</v>
      </c>
      <c r="D31" s="23" t="s">
        <v>54</v>
      </c>
      <c r="E31" s="23" t="s">
        <v>109</v>
      </c>
      <c r="F31" s="23" t="s">
        <v>29</v>
      </c>
      <c r="G31" s="23" t="s">
        <v>54</v>
      </c>
      <c r="H31" s="33">
        <f>H7</f>
        <v>6972</v>
      </c>
    </row>
    <row r="32" spans="1:9" x14ac:dyDescent="0.25">
      <c r="A32" s="1">
        <v>2019</v>
      </c>
      <c r="B32" s="35">
        <v>758034</v>
      </c>
      <c r="C32" s="21">
        <v>46249</v>
      </c>
      <c r="D32" s="18">
        <v>554100</v>
      </c>
      <c r="F32" s="18">
        <v>105626</v>
      </c>
      <c r="G32" s="18">
        <f>D32-F32</f>
        <v>448474</v>
      </c>
      <c r="H32" s="18">
        <f>G32/H31</f>
        <v>64.325014343086636</v>
      </c>
    </row>
    <row r="33" spans="1:8" ht="15.75" thickBot="1" x14ac:dyDescent="0.3">
      <c r="A33" s="1" t="s">
        <v>66</v>
      </c>
      <c r="B33" s="24">
        <f>SUM(B32:B32)</f>
        <v>758034</v>
      </c>
      <c r="D33" s="24">
        <f>SUM(D32:D32)</f>
        <v>554100</v>
      </c>
      <c r="E33" s="24"/>
      <c r="F33" s="24">
        <f>SUM(F32:F32)</f>
        <v>105626</v>
      </c>
      <c r="G33" s="24">
        <f>SUM(G32:G32)</f>
        <v>448474</v>
      </c>
      <c r="H33" s="34">
        <f>SUM(H32:H32)</f>
        <v>64.325014343086636</v>
      </c>
    </row>
    <row r="34" spans="1:8" ht="15.75" thickTop="1" x14ac:dyDescent="0.25"/>
    <row r="35" spans="1:8" ht="15.75" thickBot="1" x14ac:dyDescent="0.3">
      <c r="A35" s="27" t="s">
        <v>75</v>
      </c>
      <c r="B35" s="28">
        <f>B19+B27+B33</f>
        <v>411468216</v>
      </c>
      <c r="C35" s="27"/>
      <c r="D35" s="28">
        <f>D19+D27+D33</f>
        <v>144799269</v>
      </c>
      <c r="E35" s="28"/>
      <c r="F35" s="28">
        <f>F19+F27+F33</f>
        <v>3315024</v>
      </c>
      <c r="G35" s="28">
        <f>G19+G27+G33</f>
        <v>253919245</v>
      </c>
      <c r="H35" s="28">
        <f>H19+H27+H33</f>
        <v>36419.85728628801</v>
      </c>
    </row>
    <row r="37" spans="1:8" x14ac:dyDescent="0.25">
      <c r="A37" t="s">
        <v>82</v>
      </c>
      <c r="G37" s="18" t="s">
        <v>48</v>
      </c>
      <c r="H37" s="18" t="s">
        <v>48</v>
      </c>
    </row>
    <row r="38" spans="1:8" x14ac:dyDescent="0.25">
      <c r="A38" t="s">
        <v>92</v>
      </c>
    </row>
  </sheetData>
  <mergeCells count="3">
    <mergeCell ref="A1:H1"/>
    <mergeCell ref="A3:H3"/>
    <mergeCell ref="A2:H2"/>
  </mergeCells>
  <printOptions horizontalCentered="1"/>
  <pageMargins left="0.7" right="0.7" top="0.75" bottom="0.75" header="0.3" footer="0.3"/>
  <pageSetup scale="8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1"/>
  <sheetViews>
    <sheetView topLeftCell="A5" workbookViewId="0">
      <selection activeCell="C7" sqref="C7"/>
    </sheetView>
  </sheetViews>
  <sheetFormatPr defaultRowHeight="15" x14ac:dyDescent="0.25"/>
  <cols>
    <col min="1" max="4" width="16.28515625" customWidth="1"/>
  </cols>
  <sheetData>
    <row r="1" spans="1:4" x14ac:dyDescent="0.25">
      <c r="A1" s="62" t="s">
        <v>0</v>
      </c>
      <c r="B1" s="62"/>
      <c r="C1" s="62"/>
      <c r="D1" s="62"/>
    </row>
    <row r="2" spans="1:4" x14ac:dyDescent="0.25">
      <c r="A2" s="58" t="s">
        <v>111</v>
      </c>
      <c r="B2" s="58"/>
      <c r="C2" s="58"/>
      <c r="D2" s="58"/>
    </row>
    <row r="4" spans="1:4" x14ac:dyDescent="0.25">
      <c r="A4" s="1" t="s">
        <v>43</v>
      </c>
      <c r="B4" s="1"/>
      <c r="C4" s="1"/>
      <c r="D4" s="1"/>
    </row>
    <row r="5" spans="1:4" x14ac:dyDescent="0.25">
      <c r="A5" s="17" t="s">
        <v>44</v>
      </c>
      <c r="B5" s="17" t="s">
        <v>45</v>
      </c>
      <c r="C5" s="17" t="s">
        <v>46</v>
      </c>
      <c r="D5" s="17" t="s">
        <v>47</v>
      </c>
    </row>
    <row r="6" spans="1:4" x14ac:dyDescent="0.25">
      <c r="A6" s="44">
        <v>2024</v>
      </c>
      <c r="B6" s="18">
        <v>2850987</v>
      </c>
      <c r="C6" s="18">
        <f>12192727+3</f>
        <v>12192730</v>
      </c>
      <c r="D6" s="18">
        <f t="shared" ref="D6:D38" si="0">C6+B6</f>
        <v>15043717</v>
      </c>
    </row>
    <row r="7" spans="1:4" x14ac:dyDescent="0.25">
      <c r="A7" s="44">
        <v>2025</v>
      </c>
      <c r="B7" s="18">
        <v>2334183</v>
      </c>
      <c r="C7" s="18">
        <v>13013907</v>
      </c>
      <c r="D7" s="18">
        <f t="shared" si="0"/>
        <v>15348090</v>
      </c>
    </row>
    <row r="8" spans="1:4" x14ac:dyDescent="0.25">
      <c r="A8" s="44">
        <v>2026</v>
      </c>
      <c r="B8" s="18">
        <v>1222461</v>
      </c>
      <c r="C8" s="18">
        <v>13982079</v>
      </c>
      <c r="D8" s="18">
        <f t="shared" si="0"/>
        <v>15204540</v>
      </c>
    </row>
    <row r="9" spans="1:4" x14ac:dyDescent="0.25">
      <c r="A9" s="44">
        <v>2027</v>
      </c>
      <c r="B9" s="18">
        <v>1967992</v>
      </c>
      <c r="C9" s="18">
        <v>13339660</v>
      </c>
      <c r="D9" s="18">
        <f t="shared" si="0"/>
        <v>15307652</v>
      </c>
    </row>
    <row r="10" spans="1:4" x14ac:dyDescent="0.25">
      <c r="A10" s="44">
        <v>2028</v>
      </c>
      <c r="B10" s="18">
        <v>1982096</v>
      </c>
      <c r="C10" s="18">
        <v>14137068</v>
      </c>
      <c r="D10" s="18">
        <f t="shared" si="0"/>
        <v>16119164</v>
      </c>
    </row>
    <row r="11" spans="1:4" x14ac:dyDescent="0.25">
      <c r="A11" s="44">
        <v>2029</v>
      </c>
      <c r="B11" s="18">
        <v>1480160</v>
      </c>
      <c r="C11" s="18">
        <v>14786680</v>
      </c>
      <c r="D11" s="18">
        <f t="shared" si="0"/>
        <v>16266840</v>
      </c>
    </row>
    <row r="12" spans="1:4" x14ac:dyDescent="0.25">
      <c r="A12" s="44">
        <v>2030</v>
      </c>
      <c r="B12" s="18">
        <v>1459840</v>
      </c>
      <c r="C12" s="18">
        <v>14941565</v>
      </c>
      <c r="D12" s="18">
        <f t="shared" si="0"/>
        <v>16401405</v>
      </c>
    </row>
    <row r="13" spans="1:4" x14ac:dyDescent="0.25">
      <c r="A13" s="44">
        <v>2031</v>
      </c>
      <c r="B13" s="18">
        <v>1466557</v>
      </c>
      <c r="C13" s="18">
        <v>15112045</v>
      </c>
      <c r="D13" s="18">
        <f t="shared" si="0"/>
        <v>16578602</v>
      </c>
    </row>
    <row r="14" spans="1:4" x14ac:dyDescent="0.25">
      <c r="A14" s="44">
        <v>2032</v>
      </c>
      <c r="B14" s="18">
        <v>1761942</v>
      </c>
      <c r="C14" s="18">
        <v>14670941</v>
      </c>
      <c r="D14" s="18">
        <f t="shared" si="0"/>
        <v>16432883</v>
      </c>
    </row>
    <row r="15" spans="1:4" x14ac:dyDescent="0.25">
      <c r="A15" s="44">
        <v>2033</v>
      </c>
      <c r="B15" s="18">
        <v>2937458</v>
      </c>
      <c r="C15" s="18">
        <v>13557919</v>
      </c>
      <c r="D15" s="18">
        <f t="shared" si="0"/>
        <v>16495377</v>
      </c>
    </row>
    <row r="16" spans="1:4" x14ac:dyDescent="0.25">
      <c r="A16" s="44">
        <v>2034</v>
      </c>
      <c r="B16" s="18">
        <v>2060048</v>
      </c>
      <c r="C16" s="18">
        <v>14576470</v>
      </c>
      <c r="D16" s="18">
        <f t="shared" si="0"/>
        <v>16636518</v>
      </c>
    </row>
    <row r="17" spans="1:4" x14ac:dyDescent="0.25">
      <c r="A17" s="44">
        <v>2035</v>
      </c>
      <c r="B17" s="18">
        <v>5055560</v>
      </c>
      <c r="C17" s="18">
        <v>11586173</v>
      </c>
      <c r="D17" s="18">
        <f t="shared" si="0"/>
        <v>16641733</v>
      </c>
    </row>
    <row r="18" spans="1:4" x14ac:dyDescent="0.25">
      <c r="A18" s="44">
        <v>2036</v>
      </c>
      <c r="B18" s="18">
        <v>657661</v>
      </c>
      <c r="C18" s="18">
        <v>16537241</v>
      </c>
      <c r="D18" s="18">
        <f t="shared" si="0"/>
        <v>17194902</v>
      </c>
    </row>
    <row r="19" spans="1:4" x14ac:dyDescent="0.25">
      <c r="A19" s="44">
        <v>2037</v>
      </c>
      <c r="B19" s="18">
        <v>8148819</v>
      </c>
      <c r="C19" s="18">
        <v>9258233</v>
      </c>
      <c r="D19" s="18">
        <f t="shared" si="0"/>
        <v>17407052</v>
      </c>
    </row>
    <row r="20" spans="1:4" x14ac:dyDescent="0.25">
      <c r="A20" s="44">
        <v>2038</v>
      </c>
      <c r="B20" s="18">
        <v>8446918</v>
      </c>
      <c r="C20" s="18">
        <v>9069827</v>
      </c>
      <c r="D20" s="18">
        <f t="shared" si="0"/>
        <v>17516745</v>
      </c>
    </row>
    <row r="21" spans="1:4" x14ac:dyDescent="0.25">
      <c r="A21" s="44">
        <v>2039</v>
      </c>
      <c r="B21" s="18">
        <v>9316002</v>
      </c>
      <c r="C21" s="18">
        <v>8855044</v>
      </c>
      <c r="D21" s="18">
        <f t="shared" si="0"/>
        <v>18171046</v>
      </c>
    </row>
    <row r="22" spans="1:4" x14ac:dyDescent="0.25">
      <c r="A22" s="44">
        <v>2040</v>
      </c>
      <c r="B22" s="18">
        <v>9675922</v>
      </c>
      <c r="C22" s="18">
        <v>8612290</v>
      </c>
      <c r="D22" s="18">
        <f t="shared" si="0"/>
        <v>18288212</v>
      </c>
    </row>
    <row r="23" spans="1:4" x14ac:dyDescent="0.25">
      <c r="A23" s="44">
        <v>2041</v>
      </c>
      <c r="B23" s="18">
        <v>10881556</v>
      </c>
      <c r="C23" s="18">
        <v>8340104</v>
      </c>
      <c r="D23" s="18">
        <f t="shared" si="0"/>
        <v>19221660</v>
      </c>
    </row>
    <row r="24" spans="1:4" x14ac:dyDescent="0.25">
      <c r="A24" s="44">
        <v>2042</v>
      </c>
      <c r="B24" s="18">
        <v>11624609</v>
      </c>
      <c r="C24" s="18">
        <v>7682171</v>
      </c>
      <c r="D24" s="18">
        <f t="shared" si="0"/>
        <v>19306780</v>
      </c>
    </row>
    <row r="25" spans="1:4" x14ac:dyDescent="0.25">
      <c r="A25" s="44">
        <v>2043</v>
      </c>
      <c r="B25" s="18">
        <v>12600000</v>
      </c>
      <c r="C25" s="18">
        <v>6482516</v>
      </c>
      <c r="D25" s="18">
        <f t="shared" si="0"/>
        <v>19082516</v>
      </c>
    </row>
    <row r="26" spans="1:4" x14ac:dyDescent="0.25">
      <c r="A26" s="44">
        <v>2044</v>
      </c>
      <c r="B26" s="18">
        <v>13095000</v>
      </c>
      <c r="C26" s="18">
        <v>6106531</v>
      </c>
      <c r="D26" s="18">
        <f t="shared" si="0"/>
        <v>19201531</v>
      </c>
    </row>
    <row r="27" spans="1:4" x14ac:dyDescent="0.25">
      <c r="A27" s="44">
        <v>2045</v>
      </c>
      <c r="B27" s="18">
        <v>13490000</v>
      </c>
      <c r="C27" s="18">
        <v>5717923</v>
      </c>
      <c r="D27" s="18">
        <f t="shared" si="0"/>
        <v>19207923</v>
      </c>
    </row>
    <row r="28" spans="1:4" x14ac:dyDescent="0.25">
      <c r="A28" s="44">
        <v>2046</v>
      </c>
      <c r="B28" s="18">
        <v>13955000</v>
      </c>
      <c r="C28" s="18">
        <v>5314515</v>
      </c>
      <c r="D28" s="18">
        <f t="shared" si="0"/>
        <v>19269515</v>
      </c>
    </row>
    <row r="29" spans="1:4" x14ac:dyDescent="0.25">
      <c r="A29" s="44">
        <v>2047</v>
      </c>
      <c r="B29" s="18">
        <v>9165000</v>
      </c>
      <c r="C29" s="18">
        <v>4878950</v>
      </c>
      <c r="D29" s="18">
        <f t="shared" si="0"/>
        <v>14043950</v>
      </c>
    </row>
    <row r="30" spans="1:4" x14ac:dyDescent="0.25">
      <c r="A30" s="44">
        <v>2048</v>
      </c>
      <c r="B30" s="18">
        <v>9620000</v>
      </c>
      <c r="C30" s="18">
        <v>4409325</v>
      </c>
      <c r="D30" s="18">
        <f t="shared" si="0"/>
        <v>14029325</v>
      </c>
    </row>
    <row r="31" spans="1:4" x14ac:dyDescent="0.25">
      <c r="A31" s="44">
        <v>2049</v>
      </c>
      <c r="B31" s="18">
        <v>10105000</v>
      </c>
      <c r="C31" s="18">
        <v>3963569</v>
      </c>
      <c r="D31" s="18">
        <f t="shared" si="0"/>
        <v>14068569</v>
      </c>
    </row>
    <row r="32" spans="1:4" x14ac:dyDescent="0.25">
      <c r="A32" s="44">
        <v>2050</v>
      </c>
      <c r="B32" s="18">
        <v>10515000</v>
      </c>
      <c r="C32" s="18">
        <v>3544728</v>
      </c>
      <c r="D32" s="18">
        <f t="shared" si="0"/>
        <v>14059728</v>
      </c>
    </row>
    <row r="33" spans="1:4" x14ac:dyDescent="0.25">
      <c r="A33" s="44">
        <v>2051</v>
      </c>
      <c r="B33" s="18">
        <v>10940000</v>
      </c>
      <c r="C33" s="18">
        <v>3108928</v>
      </c>
      <c r="D33" s="18">
        <f t="shared" si="0"/>
        <v>14048928</v>
      </c>
    </row>
    <row r="34" spans="1:4" x14ac:dyDescent="0.25">
      <c r="A34" s="44">
        <v>2052</v>
      </c>
      <c r="B34" s="18">
        <v>11385000</v>
      </c>
      <c r="C34" s="18">
        <v>2655456</v>
      </c>
      <c r="D34" s="18">
        <f t="shared" si="0"/>
        <v>14040456</v>
      </c>
    </row>
    <row r="35" spans="1:4" x14ac:dyDescent="0.25">
      <c r="A35" s="44">
        <v>2053</v>
      </c>
      <c r="B35" s="18">
        <v>11845000</v>
      </c>
      <c r="C35" s="18">
        <v>2183600</v>
      </c>
      <c r="D35" s="18">
        <f t="shared" si="0"/>
        <v>14028600</v>
      </c>
    </row>
    <row r="36" spans="1:4" x14ac:dyDescent="0.25">
      <c r="A36" s="44">
        <v>2054</v>
      </c>
      <c r="B36" s="18">
        <v>12325000</v>
      </c>
      <c r="C36" s="18">
        <v>1634875</v>
      </c>
      <c r="D36" s="18">
        <f t="shared" si="0"/>
        <v>13959875</v>
      </c>
    </row>
    <row r="37" spans="1:4" x14ac:dyDescent="0.25">
      <c r="A37" s="44">
        <v>2055</v>
      </c>
      <c r="B37" s="18">
        <v>12945000</v>
      </c>
      <c r="C37" s="18">
        <v>1003125</v>
      </c>
      <c r="D37" s="18">
        <f t="shared" si="0"/>
        <v>13948125</v>
      </c>
    </row>
    <row r="38" spans="1:4" x14ac:dyDescent="0.25">
      <c r="A38" s="44">
        <v>2056</v>
      </c>
      <c r="B38" s="18">
        <v>13590000</v>
      </c>
      <c r="C38" s="18">
        <v>339750</v>
      </c>
      <c r="D38" s="18">
        <f t="shared" si="0"/>
        <v>13929750</v>
      </c>
    </row>
    <row r="39" spans="1:4" ht="15.75" thickBot="1" x14ac:dyDescent="0.3">
      <c r="A39" s="1" t="s">
        <v>47</v>
      </c>
      <c r="B39" s="20">
        <f>SUM(B6:B38)</f>
        <v>250905771</v>
      </c>
      <c r="C39" s="20">
        <f t="shared" ref="C39" si="1">SUM(C6:C38)</f>
        <v>285595938</v>
      </c>
      <c r="D39" s="20">
        <f>SUM(D6:D38)</f>
        <v>536501709</v>
      </c>
    </row>
    <row r="40" spans="1:4" ht="15.75" thickTop="1" x14ac:dyDescent="0.25">
      <c r="C40" t="s">
        <v>48</v>
      </c>
    </row>
    <row r="41" spans="1:4" x14ac:dyDescent="0.25">
      <c r="C41" t="s">
        <v>48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D15"/>
  <sheetViews>
    <sheetView workbookViewId="0">
      <selection activeCell="C9" sqref="C9"/>
    </sheetView>
  </sheetViews>
  <sheetFormatPr defaultRowHeight="15" x14ac:dyDescent="0.25"/>
  <cols>
    <col min="1" max="4" width="16.28515625" customWidth="1"/>
  </cols>
  <sheetData>
    <row r="1" spans="1:4" x14ac:dyDescent="0.25">
      <c r="A1" s="62" t="s">
        <v>0</v>
      </c>
      <c r="B1" s="62"/>
      <c r="C1" s="62"/>
      <c r="D1" s="62"/>
    </row>
    <row r="2" spans="1:4" x14ac:dyDescent="0.25">
      <c r="A2" s="58" t="s">
        <v>112</v>
      </c>
      <c r="B2" s="58"/>
      <c r="C2" s="58"/>
      <c r="D2" s="58"/>
    </row>
    <row r="3" spans="1:4" x14ac:dyDescent="0.25">
      <c r="A3" t="s">
        <v>48</v>
      </c>
    </row>
    <row r="4" spans="1:4" x14ac:dyDescent="0.25">
      <c r="A4" s="1" t="s">
        <v>43</v>
      </c>
      <c r="B4" s="1"/>
      <c r="C4" s="1"/>
      <c r="D4" s="1"/>
    </row>
    <row r="5" spans="1:4" x14ac:dyDescent="0.25">
      <c r="A5" s="17" t="s">
        <v>44</v>
      </c>
      <c r="B5" s="17" t="s">
        <v>45</v>
      </c>
      <c r="C5" s="17" t="s">
        <v>46</v>
      </c>
      <c r="D5" s="17" t="s">
        <v>47</v>
      </c>
    </row>
    <row r="6" spans="1:4" x14ac:dyDescent="0.25">
      <c r="A6" s="1">
        <v>2024</v>
      </c>
      <c r="B6" s="18">
        <v>565000</v>
      </c>
      <c r="C6" s="18">
        <f>30685.75+27823.75</f>
        <v>58509.5</v>
      </c>
      <c r="D6" s="18">
        <f t="shared" ref="D6:D10" si="0">B6+C6</f>
        <v>623509.5</v>
      </c>
    </row>
    <row r="7" spans="1:4" x14ac:dyDescent="0.25">
      <c r="A7" s="1">
        <v>2025</v>
      </c>
      <c r="B7" s="18">
        <v>560000</v>
      </c>
      <c r="C7" s="18">
        <f>23896.75+21034.75</f>
        <v>44931.5</v>
      </c>
      <c r="D7" s="18">
        <f t="shared" si="0"/>
        <v>604931.5</v>
      </c>
    </row>
    <row r="8" spans="1:4" x14ac:dyDescent="0.25">
      <c r="A8" s="1">
        <v>2026</v>
      </c>
      <c r="B8" s="18">
        <v>575000</v>
      </c>
      <c r="C8" s="18">
        <v>31351.75</v>
      </c>
      <c r="D8" s="18">
        <f t="shared" si="0"/>
        <v>606351.75</v>
      </c>
    </row>
    <row r="9" spans="1:4" x14ac:dyDescent="0.25">
      <c r="A9" s="1">
        <v>2027</v>
      </c>
      <c r="B9" s="18">
        <v>430000</v>
      </c>
      <c r="C9" s="18">
        <v>19462</v>
      </c>
      <c r="D9" s="18">
        <f t="shared" si="0"/>
        <v>449462</v>
      </c>
    </row>
    <row r="10" spans="1:4" x14ac:dyDescent="0.25">
      <c r="A10" s="1">
        <v>2028</v>
      </c>
      <c r="B10" s="18">
        <v>435000</v>
      </c>
      <c r="C10" s="18">
        <v>9264</v>
      </c>
      <c r="D10" s="18">
        <f t="shared" si="0"/>
        <v>444264</v>
      </c>
    </row>
    <row r="11" spans="1:4" ht="15.75" thickBot="1" x14ac:dyDescent="0.3">
      <c r="A11" s="1" t="s">
        <v>47</v>
      </c>
      <c r="B11" s="20">
        <f>SUM(B6:B10)</f>
        <v>2565000</v>
      </c>
      <c r="C11" s="20">
        <f>SUM(C6:C10)</f>
        <v>163518.75</v>
      </c>
      <c r="D11" s="20">
        <f>SUM(D6:D10)</f>
        <v>2728518.75</v>
      </c>
    </row>
    <row r="12" spans="1:4" ht="15.75" thickTop="1" x14ac:dyDescent="0.25">
      <c r="D12" s="19" t="s">
        <v>48</v>
      </c>
    </row>
    <row r="13" spans="1:4" x14ac:dyDescent="0.25">
      <c r="A13" s="3" t="s">
        <v>48</v>
      </c>
    </row>
    <row r="15" spans="1:4" x14ac:dyDescent="0.25">
      <c r="D15" s="19" t="s">
        <v>48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D14"/>
  <sheetViews>
    <sheetView tabSelected="1" workbookViewId="0">
      <selection activeCell="A3" sqref="A3"/>
    </sheetView>
  </sheetViews>
  <sheetFormatPr defaultRowHeight="15" x14ac:dyDescent="0.25"/>
  <cols>
    <col min="1" max="4" width="16.28515625" customWidth="1"/>
  </cols>
  <sheetData>
    <row r="1" spans="1:4" x14ac:dyDescent="0.25">
      <c r="A1" s="62" t="s">
        <v>0</v>
      </c>
      <c r="B1" s="62"/>
      <c r="C1" s="62"/>
      <c r="D1" s="62"/>
    </row>
    <row r="2" spans="1:4" x14ac:dyDescent="0.25">
      <c r="A2" s="58" t="s">
        <v>113</v>
      </c>
      <c r="B2" s="58"/>
      <c r="C2" s="58"/>
      <c r="D2" s="58"/>
    </row>
    <row r="3" spans="1:4" x14ac:dyDescent="0.25">
      <c r="A3" t="s">
        <v>48</v>
      </c>
    </row>
    <row r="4" spans="1:4" x14ac:dyDescent="0.25">
      <c r="A4" s="1" t="s">
        <v>43</v>
      </c>
      <c r="B4" s="1"/>
      <c r="C4" s="1"/>
      <c r="D4" s="1"/>
    </row>
    <row r="5" spans="1:4" x14ac:dyDescent="0.25">
      <c r="A5" s="17" t="s">
        <v>44</v>
      </c>
      <c r="B5" s="17" t="s">
        <v>45</v>
      </c>
      <c r="C5" s="17" t="s">
        <v>46</v>
      </c>
      <c r="D5" s="17" t="s">
        <v>47</v>
      </c>
    </row>
    <row r="6" spans="1:4" x14ac:dyDescent="0.25">
      <c r="A6" s="1">
        <v>2024</v>
      </c>
      <c r="B6" s="18">
        <v>108162</v>
      </c>
      <c r="C6" s="18">
        <f>5381.68+4083.74</f>
        <v>9465.42</v>
      </c>
      <c r="D6" s="18">
        <f t="shared" ref="D6:D9" si="0">SUM(B6:C6)</f>
        <v>117627.42</v>
      </c>
    </row>
    <row r="7" spans="1:4" x14ac:dyDescent="0.25">
      <c r="A7" s="1">
        <v>2025</v>
      </c>
      <c r="B7" s="18">
        <v>110757</v>
      </c>
      <c r="C7" s="18">
        <f>4083.74+2754.65</f>
        <v>6838.3899999999994</v>
      </c>
      <c r="D7" s="18">
        <f t="shared" si="0"/>
        <v>117595.39</v>
      </c>
    </row>
    <row r="8" spans="1:4" x14ac:dyDescent="0.25">
      <c r="A8" s="1">
        <v>2026</v>
      </c>
      <c r="B8" s="18">
        <v>113416</v>
      </c>
      <c r="C8" s="18">
        <f>2754.65+1393.66</f>
        <v>4148.3100000000004</v>
      </c>
      <c r="D8" s="18">
        <f t="shared" si="0"/>
        <v>117564.31</v>
      </c>
    </row>
    <row r="9" spans="1:4" x14ac:dyDescent="0.25">
      <c r="A9" s="1">
        <v>2027</v>
      </c>
      <c r="B9" s="18">
        <v>116138</v>
      </c>
      <c r="C9" s="18">
        <v>1393.66</v>
      </c>
      <c r="D9" s="18">
        <f t="shared" si="0"/>
        <v>117531.66</v>
      </c>
    </row>
    <row r="10" spans="1:4" ht="15.75" thickBot="1" x14ac:dyDescent="0.3">
      <c r="A10" s="1" t="s">
        <v>47</v>
      </c>
      <c r="B10" s="20">
        <f>SUM(B6:B9)</f>
        <v>448473</v>
      </c>
      <c r="C10" s="20">
        <f>SUM(C6:C9)</f>
        <v>21845.78</v>
      </c>
      <c r="D10" s="20">
        <f>SUM(D6:D9)</f>
        <v>470318.78</v>
      </c>
    </row>
    <row r="11" spans="1:4" ht="15.75" thickTop="1" x14ac:dyDescent="0.25">
      <c r="D11" s="19" t="s">
        <v>48</v>
      </c>
    </row>
    <row r="12" spans="1:4" x14ac:dyDescent="0.25">
      <c r="A12" s="3" t="s">
        <v>48</v>
      </c>
    </row>
    <row r="14" spans="1:4" x14ac:dyDescent="0.25">
      <c r="D14" s="19" t="s">
        <v>48</v>
      </c>
    </row>
  </sheetData>
  <mergeCells count="2">
    <mergeCell ref="A1:D1"/>
    <mergeCell ref="A2:D2"/>
  </mergeCells>
  <printOptions horizontalCentered="1"/>
  <pageMargins left="0.7" right="0.7" top="0.75" bottom="0.75" header="0.3" footer="0.3"/>
  <pageSetup orientation="landscape" r:id="rId1"/>
  <ignoredErrors>
    <ignoredError sqref="D6:D9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a22b25-a74b-4699-99df-4f8b8fa0ca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6A3E31017F01459FE23A049E3F2CAF" ma:contentTypeVersion="16" ma:contentTypeDescription="Create a new document." ma:contentTypeScope="" ma:versionID="01cf3887de5bc09416c34f917694fe85">
  <xsd:schema xmlns:xsd="http://www.w3.org/2001/XMLSchema" xmlns:xs="http://www.w3.org/2001/XMLSchema" xmlns:p="http://schemas.microsoft.com/office/2006/metadata/properties" xmlns:ns3="a9a22b25-a74b-4699-99df-4f8b8fa0ca59" xmlns:ns4="aea6dde8-b92e-45bd-bbc7-1369b6f59449" targetNamespace="http://schemas.microsoft.com/office/2006/metadata/properties" ma:root="true" ma:fieldsID="c711bbd5b2eab0761b47e02aa2be8707" ns3:_="" ns4:_="">
    <xsd:import namespace="a9a22b25-a74b-4699-99df-4f8b8fa0ca59"/>
    <xsd:import namespace="aea6dde8-b92e-45bd-bbc7-1369b6f5944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22b25-a74b-4699-99df-4f8b8fa0c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6dde8-b92e-45bd-bbc7-1369b6f5944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D5B433-3140-4C5B-8B02-349497135E83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a9a22b25-a74b-4699-99df-4f8b8fa0ca59"/>
    <ds:schemaRef ds:uri="aea6dde8-b92e-45bd-bbc7-1369b6f59449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7EA28B6-F7C4-4692-94EE-9E6E732309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893679-531E-4951-9769-4A25CBBE6C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a22b25-a74b-4699-99df-4f8b8fa0ca59"/>
    <ds:schemaRef ds:uri="aea6dde8-b92e-45bd-bbc7-1369b6f594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Title Page</vt:lpstr>
      <vt:lpstr>Fund FS</vt:lpstr>
      <vt:lpstr>List of Bond Issues</vt:lpstr>
      <vt:lpstr>General Obligation Bonds wP&amp;I</vt:lpstr>
      <vt:lpstr>General Obligation wper capita</vt:lpstr>
      <vt:lpstr>General Obligation per Student</vt:lpstr>
      <vt:lpstr>Total Bonded Debt OS</vt:lpstr>
      <vt:lpstr>Maint Tax Note</vt:lpstr>
      <vt:lpstr>Notes Payable</vt:lpstr>
      <vt:lpstr>'General Obligation Bonds wP&amp;I'!Print_Area</vt:lpstr>
      <vt:lpstr>'General Obligation per Student'!Print_Area</vt:lpstr>
      <vt:lpstr>'General Obligation wper capita'!Print_Area</vt:lpstr>
      <vt:lpstr>'List of Bond Issues'!Print_Area</vt:lpstr>
      <vt:lpstr>'Maint Tax Note'!Print_Area</vt:lpstr>
      <vt:lpstr>'Notes Payable'!Print_Area</vt:lpstr>
      <vt:lpstr>'Total Bonded Debt OS'!Print_Area</vt:lpstr>
    </vt:vector>
  </TitlesOfParts>
  <Company>White Settlement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Janette Owens</dc:creator>
  <cp:lastModifiedBy>James Maddux</cp:lastModifiedBy>
  <cp:lastPrinted>2023-10-17T21:52:55Z</cp:lastPrinted>
  <dcterms:created xsi:type="dcterms:W3CDTF">2016-11-07T18:29:07Z</dcterms:created>
  <dcterms:modified xsi:type="dcterms:W3CDTF">2023-10-30T16:32:10Z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0x0101008B6A3E31017F01459FE23A049E3F2CAF</vt:lpwstr>
  </property>
</Properties>
</file>