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Debt Information\"/>
    </mc:Choice>
  </mc:AlternateContent>
  <xr:revisionPtr revIDLastSave="0" documentId="8_{BFB34F1B-FDB9-4579-9353-753ED8D3E944}" xr6:coauthVersionLast="47" xr6:coauthVersionMax="47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Title Page" sheetId="6" r:id="rId1"/>
    <sheet name="Fund FS" sheetId="1" r:id="rId2"/>
    <sheet name="List of Bond Issues" sheetId="2" r:id="rId3"/>
    <sheet name="General Obligation Bonds wP&amp;I" sheetId="5" r:id="rId4"/>
    <sheet name="General Obligation wper capita" sheetId="4" r:id="rId5"/>
    <sheet name="General Obligation per Student" sheetId="8" r:id="rId6"/>
    <sheet name="Total Bonded Debt OS" sheetId="3" r:id="rId7"/>
    <sheet name="Maint Tax Note" sheetId="7" r:id="rId8"/>
    <sheet name="Notes Payable" sheetId="9" r:id="rId9"/>
  </sheets>
  <definedNames>
    <definedName name="_xlnm.Print_Area" localSheetId="3">'General Obligation Bonds wP&amp;I'!$A$1:$G$35</definedName>
    <definedName name="_xlnm.Print_Area" localSheetId="5">'General Obligation per Student'!$A$1:$H$37</definedName>
    <definedName name="_xlnm.Print_Area" localSheetId="4">'General Obligation wper capita'!$A$1:$H$39</definedName>
    <definedName name="_xlnm.Print_Area" localSheetId="2">'List of Bond Issues'!$A$1:$I$34</definedName>
    <definedName name="_xlnm.Print_Area" localSheetId="7">'Maint Tax Note'!$A$1:$G$28</definedName>
    <definedName name="_xlnm.Print_Area" localSheetId="8">'Notes Payable'!$A$1:$F$29</definedName>
    <definedName name="_xlnm.Print_Area" localSheetId="6">'Total Bonded Debt OS'!$A$1:$H$36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K25" i="1"/>
  <c r="F25" i="8" l="1"/>
  <c r="E25" i="8"/>
  <c r="F11" i="8"/>
  <c r="F10" i="8"/>
  <c r="G10" i="8" s="1"/>
  <c r="F9" i="8"/>
  <c r="F8" i="8"/>
  <c r="G8" i="8"/>
  <c r="G30" i="8"/>
  <c r="G31" i="8" s="1"/>
  <c r="G16" i="8"/>
  <c r="G15" i="8"/>
  <c r="G14" i="8"/>
  <c r="G13" i="8"/>
  <c r="G12" i="8"/>
  <c r="G11" i="8"/>
  <c r="G9" i="8"/>
  <c r="G7" i="8"/>
  <c r="E17" i="8"/>
  <c r="E31" i="8"/>
  <c r="G22" i="8"/>
  <c r="G25" i="8" s="1"/>
  <c r="G23" i="8"/>
  <c r="G24" i="8"/>
  <c r="G30" i="4"/>
  <c r="G24" i="4"/>
  <c r="G23" i="4"/>
  <c r="G22" i="4"/>
  <c r="G10" i="4"/>
  <c r="G13" i="4"/>
  <c r="G12" i="4"/>
  <c r="G11" i="4"/>
  <c r="G9" i="4"/>
  <c r="G16" i="4"/>
  <c r="G15" i="4"/>
  <c r="G14" i="4"/>
  <c r="G7" i="4"/>
  <c r="F31" i="4"/>
  <c r="F25" i="4"/>
  <c r="C6" i="9"/>
  <c r="C6" i="3"/>
  <c r="D6" i="3" s="1"/>
  <c r="D30" i="3"/>
  <c r="D24" i="3"/>
  <c r="D22" i="3"/>
  <c r="D10" i="3"/>
  <c r="C27" i="3"/>
  <c r="D27" i="3" s="1"/>
  <c r="C29" i="3"/>
  <c r="D29" i="3" s="1"/>
  <c r="C28" i="3"/>
  <c r="D28" i="3" s="1"/>
  <c r="B28" i="3"/>
  <c r="B31" i="3" s="1"/>
  <c r="C26" i="3"/>
  <c r="D26" i="3" s="1"/>
  <c r="C25" i="3"/>
  <c r="D25" i="3" s="1"/>
  <c r="C24" i="3"/>
  <c r="C23" i="3"/>
  <c r="D23" i="3" s="1"/>
  <c r="C22" i="3"/>
  <c r="C21" i="3"/>
  <c r="D21" i="3" s="1"/>
  <c r="C20" i="3"/>
  <c r="D20" i="3" s="1"/>
  <c r="C19" i="3"/>
  <c r="D19" i="3" s="1"/>
  <c r="C18" i="3"/>
  <c r="D18" i="3" s="1"/>
  <c r="C17" i="3"/>
  <c r="D17" i="3" s="1"/>
  <c r="C16" i="3"/>
  <c r="D16" i="3" s="1"/>
  <c r="C15" i="3"/>
  <c r="D15" i="3" s="1"/>
  <c r="C14" i="3"/>
  <c r="D14" i="3" s="1"/>
  <c r="C13" i="3"/>
  <c r="D13" i="3" s="1"/>
  <c r="C12" i="3"/>
  <c r="D12" i="3" s="1"/>
  <c r="C11" i="3"/>
  <c r="D11" i="3" s="1"/>
  <c r="B11" i="3"/>
  <c r="C10" i="3"/>
  <c r="C9" i="3"/>
  <c r="D9" i="3" s="1"/>
  <c r="C8" i="3"/>
  <c r="D8" i="3" s="1"/>
  <c r="C7" i="3"/>
  <c r="D7" i="3" s="1"/>
  <c r="D31" i="3" l="1"/>
  <c r="F17" i="8"/>
  <c r="G17" i="8"/>
  <c r="F17" i="4"/>
  <c r="F33" i="4" s="1"/>
  <c r="G8" i="4"/>
  <c r="G17" i="4" s="1"/>
  <c r="C31" i="3"/>
  <c r="H15" i="8"/>
  <c r="D17" i="8"/>
  <c r="B17" i="8"/>
  <c r="H29" i="8"/>
  <c r="H21" i="8"/>
  <c r="H29" i="4"/>
  <c r="H21" i="4"/>
  <c r="E17" i="4"/>
  <c r="B17" i="4"/>
  <c r="D17" i="4"/>
  <c r="H16" i="4"/>
  <c r="H15" i="4"/>
  <c r="E21" i="5"/>
  <c r="E22" i="5"/>
  <c r="E23" i="5"/>
  <c r="E11" i="5"/>
  <c r="E15" i="5"/>
  <c r="F15" i="5" s="1"/>
  <c r="E14" i="5"/>
  <c r="F14" i="5" s="1"/>
  <c r="E13" i="5"/>
  <c r="E12" i="5"/>
  <c r="E10" i="5"/>
  <c r="D10" i="5"/>
  <c r="D16" i="5" s="1"/>
  <c r="E9" i="5"/>
  <c r="B16" i="5"/>
  <c r="G16" i="2"/>
  <c r="G15" i="2"/>
  <c r="J10" i="1"/>
  <c r="K13" i="1"/>
  <c r="I26" i="1"/>
  <c r="H26" i="1"/>
  <c r="E26" i="1"/>
  <c r="D26" i="1"/>
  <c r="C26" i="1"/>
  <c r="K24" i="1"/>
  <c r="F24" i="1"/>
  <c r="K23" i="1"/>
  <c r="F23" i="1"/>
  <c r="I20" i="1"/>
  <c r="I10" i="1"/>
  <c r="I14" i="1" s="1"/>
  <c r="H10" i="1"/>
  <c r="F26" i="1" l="1"/>
  <c r="H16" i="8"/>
  <c r="E16" i="5"/>
  <c r="J26" i="1"/>
  <c r="K26" i="1" l="1"/>
  <c r="J34" i="1"/>
  <c r="K34" i="1" s="1"/>
  <c r="C10" i="9"/>
  <c r="C9" i="9"/>
  <c r="C8" i="9"/>
  <c r="C7" i="9"/>
  <c r="D12" i="7"/>
  <c r="D11" i="7"/>
  <c r="D10" i="7"/>
  <c r="D9" i="7"/>
  <c r="D8" i="7"/>
  <c r="D7" i="7"/>
  <c r="D6" i="7"/>
  <c r="D13" i="7" l="1"/>
  <c r="C13" i="7"/>
  <c r="K17" i="1" l="1"/>
  <c r="C35" i="1"/>
  <c r="E20" i="1"/>
  <c r="E33" i="1" s="1"/>
  <c r="E35" i="1" s="1"/>
  <c r="D20" i="1"/>
  <c r="D33" i="1" s="1"/>
  <c r="C20" i="1"/>
  <c r="F19" i="1"/>
  <c r="F18" i="1"/>
  <c r="F17" i="1"/>
  <c r="E14" i="1"/>
  <c r="D14" i="1"/>
  <c r="C14" i="1"/>
  <c r="F12" i="1"/>
  <c r="F11" i="1"/>
  <c r="F10" i="1"/>
  <c r="F33" i="1" l="1"/>
  <c r="F35" i="1" s="1"/>
  <c r="E37" i="1"/>
  <c r="D37" i="1"/>
  <c r="F20" i="1"/>
  <c r="C37" i="1"/>
  <c r="D35" i="1"/>
  <c r="F29" i="5"/>
  <c r="C12" i="9" l="1"/>
  <c r="D11" i="9"/>
  <c r="D10" i="9"/>
  <c r="D9" i="9"/>
  <c r="D8" i="9"/>
  <c r="D7" i="9"/>
  <c r="D6" i="9"/>
  <c r="G28" i="2"/>
  <c r="G31" i="4"/>
  <c r="E31" i="4"/>
  <c r="D31" i="4"/>
  <c r="B31" i="4"/>
  <c r="H30" i="4"/>
  <c r="H31" i="4" s="1"/>
  <c r="F30" i="5"/>
  <c r="E30" i="5"/>
  <c r="D30" i="5"/>
  <c r="B30" i="5"/>
  <c r="D31" i="8"/>
  <c r="B31" i="8"/>
  <c r="D12" i="9" l="1"/>
  <c r="B12" i="9"/>
  <c r="H30" i="8"/>
  <c r="H31" i="8" s="1"/>
  <c r="D25" i="8"/>
  <c r="B25" i="8"/>
  <c r="B33" i="8" l="1"/>
  <c r="H24" i="8" l="1"/>
  <c r="E24" i="5" l="1"/>
  <c r="D24" i="5"/>
  <c r="B24" i="5"/>
  <c r="F22" i="5"/>
  <c r="E25" i="4"/>
  <c r="E33" i="4" s="1"/>
  <c r="D25" i="4"/>
  <c r="D33" i="4" s="1"/>
  <c r="B25" i="4"/>
  <c r="B33" i="4" s="1"/>
  <c r="H24" i="4"/>
  <c r="G22" i="2"/>
  <c r="H23" i="8" l="1"/>
  <c r="H22" i="8"/>
  <c r="D33" i="8"/>
  <c r="H14" i="8"/>
  <c r="H13" i="8"/>
  <c r="H12" i="8"/>
  <c r="H11" i="8"/>
  <c r="H10" i="8"/>
  <c r="H9" i="8"/>
  <c r="E33" i="8"/>
  <c r="H7" i="8"/>
  <c r="H25" i="8" l="1"/>
  <c r="H8" i="8"/>
  <c r="H17" i="8" s="1"/>
  <c r="H10" i="4"/>
  <c r="F23" i="5"/>
  <c r="F21" i="5"/>
  <c r="H23" i="4"/>
  <c r="H22" i="4"/>
  <c r="B13" i="7"/>
  <c r="H25" i="4" l="1"/>
  <c r="G25" i="4"/>
  <c r="F24" i="5"/>
  <c r="H33" i="8"/>
  <c r="G33" i="8"/>
  <c r="F8" i="5"/>
  <c r="F6" i="5"/>
  <c r="B33" i="5"/>
  <c r="H14" i="4"/>
  <c r="H13" i="4"/>
  <c r="H12" i="4"/>
  <c r="H11" i="4"/>
  <c r="H9" i="4"/>
  <c r="H7" i="4"/>
  <c r="H8" i="4" l="1"/>
  <c r="H17" i="4" s="1"/>
  <c r="H33" i="4" s="1"/>
  <c r="G33" i="4"/>
  <c r="D33" i="5"/>
  <c r="F11" i="5"/>
  <c r="F9" i="5"/>
  <c r="F13" i="5"/>
  <c r="F7" i="5"/>
  <c r="F12" i="5"/>
  <c r="F10" i="5"/>
  <c r="F16" i="5" l="1"/>
  <c r="E33" i="5"/>
  <c r="G23" i="2"/>
  <c r="G21" i="2"/>
  <c r="G14" i="2"/>
  <c r="G13" i="2"/>
  <c r="G12" i="2"/>
  <c r="G11" i="2"/>
  <c r="G10" i="2"/>
  <c r="G9" i="2"/>
  <c r="G8" i="2"/>
  <c r="G7" i="2"/>
  <c r="K10" i="1"/>
  <c r="H14" i="1"/>
  <c r="K12" i="1"/>
  <c r="K11" i="1"/>
  <c r="K19" i="1"/>
  <c r="K18" i="1"/>
  <c r="J20" i="1"/>
  <c r="J33" i="1" s="1"/>
  <c r="I33" i="1"/>
  <c r="I35" i="1" s="1"/>
  <c r="H20" i="1"/>
  <c r="H35" i="1" s="1"/>
  <c r="F33" i="5" l="1"/>
  <c r="J35" i="1"/>
  <c r="K33" i="1"/>
  <c r="K35" i="1" s="1"/>
  <c r="J14" i="1"/>
  <c r="J37" i="1" s="1"/>
  <c r="K20" i="1"/>
  <c r="I37" i="1"/>
  <c r="H37" i="1"/>
  <c r="J39" i="1" l="1"/>
</calcChain>
</file>

<file path=xl/sharedStrings.xml><?xml version="1.0" encoding="utf-8"?>
<sst xmlns="http://schemas.openxmlformats.org/spreadsheetml/2006/main" count="363" uniqueCount="115">
  <si>
    <t>WHITE SETTLEMENT INDEPENDENT SCHOOL DISTRICT</t>
  </si>
  <si>
    <t>DEBT TRANSPARENCY</t>
  </si>
  <si>
    <t>AS OF June 30, 2021</t>
  </si>
  <si>
    <t>White Settlement Independent School District</t>
  </si>
  <si>
    <t>Debt Service Fund Financial Statement</t>
  </si>
  <si>
    <t>As of June 30, 2021</t>
  </si>
  <si>
    <t>PRIOR YEAR 2019-2020</t>
  </si>
  <si>
    <t>CURRENT YEAR 2020-2021</t>
  </si>
  <si>
    <t xml:space="preserve">Original </t>
  </si>
  <si>
    <t>Amended</t>
  </si>
  <si>
    <t xml:space="preserve">Actual to </t>
  </si>
  <si>
    <t>Budget</t>
  </si>
  <si>
    <t>Actual</t>
  </si>
  <si>
    <t>REVENUES:</t>
  </si>
  <si>
    <t xml:space="preserve">   Tax Collections</t>
  </si>
  <si>
    <t xml:space="preserve">   Penalties</t>
  </si>
  <si>
    <t xml:space="preserve">   Interest Income</t>
  </si>
  <si>
    <t xml:space="preserve">   State Revenue</t>
  </si>
  <si>
    <t>Total Revenues</t>
  </si>
  <si>
    <t xml:space="preserve"> </t>
  </si>
  <si>
    <t>EXPENDITURES:</t>
  </si>
  <si>
    <t xml:space="preserve">   Debt Service - Principal</t>
  </si>
  <si>
    <t xml:space="preserve">   Debt Service - Interest</t>
  </si>
  <si>
    <t xml:space="preserve">   Misc. Fees</t>
  </si>
  <si>
    <t>Total Expenditures</t>
  </si>
  <si>
    <t>Other Financing Sources (Uses)</t>
  </si>
  <si>
    <t xml:space="preserve">   Proceeds from issuance of Bonds</t>
  </si>
  <si>
    <t xml:space="preserve">   Premium on issuance of Bonds</t>
  </si>
  <si>
    <t xml:space="preserve">   Payment to Bond Escrow Agent</t>
  </si>
  <si>
    <t>Total Other</t>
  </si>
  <si>
    <t>EXPENDITURE SUMMARY BY OBJECT CODE:</t>
  </si>
  <si>
    <t xml:space="preserve">   61XX - Payroll Costs</t>
  </si>
  <si>
    <t xml:space="preserve">   62XX - Professional and Contracted Services</t>
  </si>
  <si>
    <t xml:space="preserve">   63XX - Supplies and Materials</t>
  </si>
  <si>
    <t xml:space="preserve">   64XX - Other Operating Expenses</t>
  </si>
  <si>
    <t xml:space="preserve">   65XX - Debt Services</t>
  </si>
  <si>
    <t xml:space="preserve">   7900  - 8900 -  Other Sources (Uses)</t>
  </si>
  <si>
    <t>Total by Object Code</t>
  </si>
  <si>
    <t>Excess (Deficiency) of Revenues Over Expenditures</t>
  </si>
  <si>
    <t>Debt Service Fund Balance</t>
  </si>
  <si>
    <t>NOTE: The District refunded some bonds in July 2020 and November 2020.</t>
  </si>
  <si>
    <t>List of General Obligation Bonds, Maintenance Tax Notes, and Notes Payable as of June 30, 2021</t>
  </si>
  <si>
    <t>General Obligation Bonds as of June 30, 2021</t>
  </si>
  <si>
    <t>Authorization</t>
  </si>
  <si>
    <t>Unissued</t>
  </si>
  <si>
    <t>Total Authorization</t>
  </si>
  <si>
    <t>Year</t>
  </si>
  <si>
    <t>Issued Amount</t>
  </si>
  <si>
    <t>Amount</t>
  </si>
  <si>
    <t>Purpose for which Debt was Authorized</t>
  </si>
  <si>
    <t>School Building</t>
  </si>
  <si>
    <t>Refunding</t>
  </si>
  <si>
    <t>2015A</t>
  </si>
  <si>
    <t>2015B</t>
  </si>
  <si>
    <t>2020A</t>
  </si>
  <si>
    <t>Maintenance Tax Notes as of June 30, 2021</t>
  </si>
  <si>
    <t>Performance Contract for HVAC &amp; Other</t>
  </si>
  <si>
    <t>Softball and Baseball Turf</t>
  </si>
  <si>
    <t>School Buses</t>
  </si>
  <si>
    <t>Notes Payable as of June 30, 2021</t>
  </si>
  <si>
    <t>Renovation of Lighting - District-wide</t>
  </si>
  <si>
    <t>Current Credit Ratings:</t>
  </si>
  <si>
    <t>Program Rating</t>
  </si>
  <si>
    <t>School Issuer Credit</t>
  </si>
  <si>
    <t>Standard an Poors</t>
  </si>
  <si>
    <t>A</t>
  </si>
  <si>
    <t>Aaa</t>
  </si>
  <si>
    <t>Fitch</t>
  </si>
  <si>
    <t>A+</t>
  </si>
  <si>
    <t>AAA</t>
  </si>
  <si>
    <t>General Obligation Bonds, Maintenance Tax Notes, and Notes Payable as of June 30, 2021</t>
  </si>
  <si>
    <t>BONDS</t>
  </si>
  <si>
    <t>Original Issue</t>
  </si>
  <si>
    <t>Maturity</t>
  </si>
  <si>
    <t xml:space="preserve">Principal </t>
  </si>
  <si>
    <t>Interest</t>
  </si>
  <si>
    <t>Total</t>
  </si>
  <si>
    <t>Series</t>
  </si>
  <si>
    <t>Date</t>
  </si>
  <si>
    <t>Balance</t>
  </si>
  <si>
    <t>Outstanding</t>
  </si>
  <si>
    <t>2011 - Refund</t>
  </si>
  <si>
    <t>2012 - Refund</t>
  </si>
  <si>
    <t>2013 - Refund</t>
  </si>
  <si>
    <t>2014 - Refund</t>
  </si>
  <si>
    <t>2015A - Refund</t>
  </si>
  <si>
    <t>2015B - Refund</t>
  </si>
  <si>
    <t>2016 - Refund</t>
  </si>
  <si>
    <t>2020 - Refund</t>
  </si>
  <si>
    <t>TOTAL BONDS</t>
  </si>
  <si>
    <t>MAINTENANCE TAX NOTES</t>
  </si>
  <si>
    <t>TOTAL MTN</t>
  </si>
  <si>
    <t>NOTES PAYABLE</t>
  </si>
  <si>
    <t>TOTAL</t>
  </si>
  <si>
    <t>GRAND TOTAL</t>
  </si>
  <si>
    <t>General Obligation Bonds, Maintenance Tax Notes, and Notes Payable as of June 30, 2021 - Per Capita</t>
  </si>
  <si>
    <t>Annual</t>
  </si>
  <si>
    <t xml:space="preserve">Bond </t>
  </si>
  <si>
    <t>Beginning</t>
  </si>
  <si>
    <t>Payment</t>
  </si>
  <si>
    <t xml:space="preserve">Ending </t>
  </si>
  <si>
    <t>Debt Per Capita</t>
  </si>
  <si>
    <t>2020A - Refund</t>
  </si>
  <si>
    <t>NOTES:</t>
  </si>
  <si>
    <t>1. Balances include principal only.</t>
  </si>
  <si>
    <t>2. The District refunded some bonds in July 2020 and November 2020.</t>
  </si>
  <si>
    <t>Source: Estimated population from the Texas Municipal Report dated 1/27/2021</t>
  </si>
  <si>
    <t>General Obligation Bonds, Maintenance Tax Notes, and Notes Payable as of June 30, 2021 - Per Student</t>
  </si>
  <si>
    <t>Debt Per Student</t>
  </si>
  <si>
    <t>Total Bonded Debt Outstanding as of June 30, 2021</t>
  </si>
  <si>
    <t>Fiscal Year</t>
  </si>
  <si>
    <t>Ending</t>
  </si>
  <si>
    <t>Principal</t>
  </si>
  <si>
    <t>Total Maintenance Tax Notes as of June 30, 2021</t>
  </si>
  <si>
    <t>TOTAL NOTES PAYABLE AS OF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</si>
</sst>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44" fontId="0" fillId="0" borderId="0" xfId="2" applyFont="1"/>
    <xf numFmtId="0" fontId="2" fillId="0" borderId="0" xfId="0" applyFont="1"/>
    <xf numFmtId="164" fontId="2" fillId="3" borderId="0" xfId="2" applyNumberFormat="1" applyFont="1" applyFill="1" applyAlignment="1">
      <alignment horizontal="center"/>
    </xf>
    <xf numFmtId="0" fontId="2" fillId="2" borderId="0" xfId="0" applyFont="1" applyFill="1"/>
    <xf numFmtId="164" fontId="2" fillId="2" borderId="0" xfId="2" applyNumberFormat="1" applyFont="1" applyFill="1"/>
    <xf numFmtId="164" fontId="2" fillId="0" borderId="0" xfId="2" applyNumberFormat="1" applyFont="1"/>
    <xf numFmtId="9" fontId="2" fillId="0" borderId="0" xfId="3" applyFont="1"/>
    <xf numFmtId="0" fontId="2" fillId="0" borderId="1" xfId="0" applyFont="1" applyBorder="1"/>
    <xf numFmtId="0" fontId="3" fillId="0" borderId="1" xfId="0" applyFont="1" applyBorder="1"/>
    <xf numFmtId="164" fontId="2" fillId="0" borderId="1" xfId="2" applyNumberFormat="1" applyFont="1" applyBorder="1"/>
    <xf numFmtId="9" fontId="2" fillId="0" borderId="1" xfId="3" applyFont="1" applyBorder="1"/>
    <xf numFmtId="43" fontId="2" fillId="0" borderId="0" xfId="1" applyFont="1"/>
    <xf numFmtId="0" fontId="0" fillId="0" borderId="2" xfId="0" applyBorder="1" applyAlignment="1">
      <alignment horizontal="center"/>
    </xf>
    <xf numFmtId="0" fontId="0" fillId="0" borderId="2" xfId="0" applyBorder="1"/>
    <xf numFmtId="44" fontId="0" fillId="0" borderId="2" xfId="2" applyFont="1" applyBorder="1"/>
    <xf numFmtId="0" fontId="5" fillId="0" borderId="0" xfId="0" applyFont="1" applyAlignment="1">
      <alignment horizontal="center"/>
    </xf>
    <xf numFmtId="164" fontId="0" fillId="0" borderId="0" xfId="2" applyNumberFormat="1" applyFont="1"/>
    <xf numFmtId="164" fontId="0" fillId="0" borderId="0" xfId="0" applyNumberFormat="1"/>
    <xf numFmtId="164" fontId="4" fillId="0" borderId="1" xfId="2" applyNumberFormat="1" applyFont="1" applyBorder="1"/>
    <xf numFmtId="14" fontId="0" fillId="0" borderId="0" xfId="0" applyNumberFormat="1"/>
    <xf numFmtId="164" fontId="0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164" fontId="0" fillId="0" borderId="1" xfId="0" applyNumberFormat="1" applyBorder="1"/>
    <xf numFmtId="164" fontId="0" fillId="0" borderId="3" xfId="0" applyNumberFormat="1" applyBorder="1"/>
    <xf numFmtId="44" fontId="0" fillId="0" borderId="0" xfId="2" applyFont="1" applyBorder="1"/>
    <xf numFmtId="0" fontId="4" fillId="0" borderId="0" xfId="0" applyFont="1"/>
    <xf numFmtId="164" fontId="4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3" fontId="0" fillId="0" borderId="0" xfId="1" applyFont="1"/>
    <xf numFmtId="1" fontId="5" fillId="0" borderId="0" xfId="2" applyNumberFormat="1" applyFont="1" applyAlignment="1">
      <alignment horizontal="center"/>
    </xf>
    <xf numFmtId="164" fontId="0" fillId="0" borderId="1" xfId="2" applyNumberFormat="1" applyFont="1" applyBorder="1"/>
    <xf numFmtId="164" fontId="0" fillId="0" borderId="0" xfId="2" applyNumberFormat="1" applyFont="1" applyFill="1"/>
    <xf numFmtId="0" fontId="0" fillId="0" borderId="4" xfId="0" applyBorder="1" applyAlignment="1">
      <alignment horizontal="center"/>
    </xf>
    <xf numFmtId="44" fontId="0" fillId="0" borderId="4" xfId="2" applyFont="1" applyBorder="1"/>
    <xf numFmtId="0" fontId="0" fillId="0" borderId="4" xfId="0" applyBorder="1"/>
    <xf numFmtId="164" fontId="0" fillId="0" borderId="2" xfId="0" applyNumberFormat="1" applyBorder="1" applyAlignment="1">
      <alignment horizontal="center"/>
    </xf>
    <xf numFmtId="164" fontId="0" fillId="0" borderId="0" xfId="2" applyNumberFormat="1" applyFont="1" applyBorder="1"/>
    <xf numFmtId="164" fontId="0" fillId="0" borderId="2" xfId="2" applyNumberFormat="1" applyFont="1" applyBorder="1"/>
    <xf numFmtId="164" fontId="0" fillId="0" borderId="4" xfId="2" applyNumberFormat="1" applyFont="1" applyBorder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4" borderId="0" xfId="0" applyFont="1" applyFill="1"/>
    <xf numFmtId="164" fontId="0" fillId="4" borderId="0" xfId="0" applyNumberFormat="1" applyFill="1"/>
    <xf numFmtId="0" fontId="0" fillId="4" borderId="0" xfId="0" applyFill="1"/>
    <xf numFmtId="0" fontId="3" fillId="0" borderId="0" xfId="0" applyFont="1"/>
    <xf numFmtId="164" fontId="2" fillId="0" borderId="0" xfId="2" applyNumberFormat="1" applyFont="1" applyBorder="1"/>
    <xf numFmtId="9" fontId="2" fillId="0" borderId="0" xfId="3" applyFont="1" applyBorder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3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F13"/>
  <sheetViews>
    <sheetView workbookViewId="0">
      <selection activeCell="A14" sqref="A14"/>
    </sheetView>
  </sheetViews>
  <sheetFormatPr defaultRowHeight="15" x14ac:dyDescent="0.25"/>
  <cols>
    <col min="1" max="1" width="15.7109375" customWidth="1"/>
    <col min="2" max="2" width="6.7109375" customWidth="1"/>
    <col min="3" max="3" width="19.28515625" customWidth="1"/>
    <col min="4" max="4" width="18.7109375" customWidth="1"/>
    <col min="5" max="5" width="24.5703125" customWidth="1"/>
    <col min="6" max="6" width="18.7109375" customWidth="1"/>
  </cols>
  <sheetData>
    <row r="11" spans="1:6" s="30" customFormat="1" ht="23.25" x14ac:dyDescent="0.35">
      <c r="A11" s="52" t="s">
        <v>0</v>
      </c>
      <c r="B11" s="52"/>
      <c r="C11" s="52"/>
      <c r="D11" s="52"/>
      <c r="E11" s="52"/>
      <c r="F11" s="29"/>
    </row>
    <row r="12" spans="1:6" s="31" customFormat="1" ht="18.75" x14ac:dyDescent="0.3">
      <c r="A12" s="51" t="s">
        <v>1</v>
      </c>
      <c r="B12" s="51"/>
      <c r="C12" s="51"/>
      <c r="D12" s="51"/>
      <c r="E12" s="51"/>
    </row>
    <row r="13" spans="1:6" ht="18.75" x14ac:dyDescent="0.3">
      <c r="A13" s="53" t="s">
        <v>2</v>
      </c>
      <c r="B13" s="53"/>
      <c r="C13" s="53"/>
      <c r="D13" s="53"/>
      <c r="E13" s="53"/>
    </row>
  </sheetData>
  <mergeCells count="3">
    <mergeCell ref="A12:E12"/>
    <mergeCell ref="A11:E11"/>
    <mergeCell ref="A13:E13"/>
  </mergeCells>
  <printOptions horizontalCentered="1"/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1"/>
  <sheetViews>
    <sheetView topLeftCell="A10" workbookViewId="0">
      <selection activeCell="J39" sqref="J39"/>
    </sheetView>
  </sheetViews>
  <sheetFormatPr defaultColWidth="9.140625" defaultRowHeight="12.75" x14ac:dyDescent="0.2"/>
  <cols>
    <col min="1" max="1" width="24.140625" style="3" customWidth="1"/>
    <col min="2" max="2" width="18.140625" style="3" customWidth="1"/>
    <col min="3" max="5" width="12.140625" style="7" customWidth="1"/>
    <col min="6" max="6" width="9.42578125" style="7" customWidth="1"/>
    <col min="7" max="7" width="4" style="3" customWidth="1"/>
    <col min="8" max="9" width="12.42578125" style="7" customWidth="1"/>
    <col min="10" max="10" width="14" style="7" customWidth="1"/>
    <col min="11" max="11" width="9.85546875" style="7" customWidth="1"/>
    <col min="12" max="16384" width="9.140625" style="3"/>
  </cols>
  <sheetData>
    <row r="1" spans="1:11" ht="15" x14ac:dyDescent="0.25">
      <c r="A1" s="55" t="s">
        <v>3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x14ac:dyDescent="0.2">
      <c r="A2" s="56" t="s">
        <v>4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">
      <c r="A3" s="56" t="s">
        <v>5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5" spans="1:11" x14ac:dyDescent="0.2">
      <c r="C5" s="54" t="s">
        <v>6</v>
      </c>
      <c r="D5" s="54"/>
      <c r="E5" s="54"/>
      <c r="F5" s="54"/>
      <c r="H5" s="54" t="s">
        <v>7</v>
      </c>
      <c r="I5" s="54"/>
      <c r="J5" s="54"/>
      <c r="K5" s="54"/>
    </row>
    <row r="6" spans="1:11" x14ac:dyDescent="0.2">
      <c r="C6" s="4" t="s">
        <v>8</v>
      </c>
      <c r="D6" s="4" t="s">
        <v>9</v>
      </c>
      <c r="E6" s="4"/>
      <c r="F6" s="4" t="s">
        <v>10</v>
      </c>
      <c r="H6" s="4" t="s">
        <v>8</v>
      </c>
      <c r="I6" s="4" t="s">
        <v>9</v>
      </c>
      <c r="J6" s="4"/>
      <c r="K6" s="4" t="s">
        <v>10</v>
      </c>
    </row>
    <row r="7" spans="1:11" x14ac:dyDescent="0.2">
      <c r="C7" s="4" t="s">
        <v>11</v>
      </c>
      <c r="D7" s="4" t="s">
        <v>11</v>
      </c>
      <c r="E7" s="4" t="s">
        <v>12</v>
      </c>
      <c r="F7" s="4" t="s">
        <v>11</v>
      </c>
      <c r="H7" s="4" t="s">
        <v>11</v>
      </c>
      <c r="I7" s="4" t="s">
        <v>11</v>
      </c>
      <c r="J7" s="4" t="s">
        <v>12</v>
      </c>
      <c r="K7" s="4" t="s">
        <v>11</v>
      </c>
    </row>
    <row r="9" spans="1:11" x14ac:dyDescent="0.2">
      <c r="A9" s="5" t="s">
        <v>13</v>
      </c>
      <c r="B9" s="5"/>
      <c r="C9" s="6"/>
      <c r="D9" s="6"/>
      <c r="E9" s="6"/>
      <c r="F9" s="6"/>
      <c r="G9" s="5"/>
      <c r="H9" s="6"/>
      <c r="I9" s="6"/>
      <c r="J9" s="6"/>
      <c r="K9" s="6"/>
    </row>
    <row r="10" spans="1:11" x14ac:dyDescent="0.2">
      <c r="A10" s="3" t="s">
        <v>14</v>
      </c>
      <c r="C10" s="7">
        <v>10878215</v>
      </c>
      <c r="D10" s="7">
        <v>10760000</v>
      </c>
      <c r="E10" s="7">
        <v>10799792</v>
      </c>
      <c r="F10" s="8">
        <f t="shared" ref="F10:F12" si="0">E10/D10</f>
        <v>1.0036981412639405</v>
      </c>
      <c r="H10" s="7">
        <f>10900000+50000</f>
        <v>10950000</v>
      </c>
      <c r="I10" s="7">
        <f>10900000+50000</f>
        <v>10950000</v>
      </c>
      <c r="J10" s="7">
        <f>11223038.24+134462.92</f>
        <v>11357501.16</v>
      </c>
      <c r="K10" s="8">
        <f t="shared" ref="K10:K13" si="1">J10/I10</f>
        <v>1.0372147178082192</v>
      </c>
    </row>
    <row r="11" spans="1:11" x14ac:dyDescent="0.2">
      <c r="A11" s="3" t="s">
        <v>15</v>
      </c>
      <c r="C11" s="7">
        <v>50000</v>
      </c>
      <c r="D11" s="7">
        <v>50000</v>
      </c>
      <c r="E11" s="7">
        <v>51043</v>
      </c>
      <c r="F11" s="8">
        <f t="shared" si="0"/>
        <v>1.0208600000000001</v>
      </c>
      <c r="H11" s="7">
        <v>50000</v>
      </c>
      <c r="I11" s="7">
        <v>50000</v>
      </c>
      <c r="J11" s="7">
        <v>110690.38</v>
      </c>
      <c r="K11" s="8">
        <f t="shared" si="1"/>
        <v>2.2138076</v>
      </c>
    </row>
    <row r="12" spans="1:11" x14ac:dyDescent="0.2">
      <c r="A12" s="3" t="s">
        <v>16</v>
      </c>
      <c r="C12" s="7">
        <v>40000</v>
      </c>
      <c r="D12" s="7">
        <v>99000</v>
      </c>
      <c r="E12" s="7">
        <v>100331</v>
      </c>
      <c r="F12" s="8">
        <f t="shared" si="0"/>
        <v>1.0134444444444444</v>
      </c>
      <c r="H12" s="7">
        <v>70000</v>
      </c>
      <c r="I12" s="7">
        <v>15000</v>
      </c>
      <c r="J12" s="7">
        <v>12326.85</v>
      </c>
      <c r="K12" s="8">
        <f t="shared" si="1"/>
        <v>0.82179000000000002</v>
      </c>
    </row>
    <row r="13" spans="1:11" x14ac:dyDescent="0.2">
      <c r="A13" s="3" t="s">
        <v>17</v>
      </c>
      <c r="C13" s="7">
        <v>763000</v>
      </c>
      <c r="D13" s="7">
        <v>299460</v>
      </c>
      <c r="E13" s="7">
        <v>299460</v>
      </c>
      <c r="F13" s="8"/>
      <c r="H13" s="7">
        <v>325054</v>
      </c>
      <c r="I13" s="7">
        <v>0</v>
      </c>
      <c r="J13" s="7">
        <v>346700</v>
      </c>
      <c r="K13" s="8" t="e">
        <f t="shared" si="1"/>
        <v>#DIV/0!</v>
      </c>
    </row>
    <row r="14" spans="1:11" ht="13.5" thickBot="1" x14ac:dyDescent="0.25">
      <c r="A14" s="9" t="s">
        <v>18</v>
      </c>
      <c r="B14" s="10" t="s">
        <v>18</v>
      </c>
      <c r="C14" s="11">
        <f>SUM(C10:C13)</f>
        <v>11731215</v>
      </c>
      <c r="D14" s="11">
        <f>SUM(D10:D13)</f>
        <v>11208460</v>
      </c>
      <c r="E14" s="11">
        <f>SUM(E10:E13)</f>
        <v>11250626</v>
      </c>
      <c r="F14" s="11"/>
      <c r="G14" s="9"/>
      <c r="H14" s="11">
        <f>SUM(H10:H13)</f>
        <v>11395054</v>
      </c>
      <c r="I14" s="11">
        <f>SUM(I10:I13)</f>
        <v>11015000</v>
      </c>
      <c r="J14" s="11">
        <f>SUM(J10:J13)</f>
        <v>11827218.390000001</v>
      </c>
      <c r="K14" s="11"/>
    </row>
    <row r="15" spans="1:11" ht="13.5" thickTop="1" x14ac:dyDescent="0.2">
      <c r="E15" s="7" t="s">
        <v>19</v>
      </c>
      <c r="F15" s="7" t="s">
        <v>19</v>
      </c>
      <c r="J15" s="7" t="s">
        <v>19</v>
      </c>
      <c r="K15" s="7" t="s">
        <v>19</v>
      </c>
    </row>
    <row r="16" spans="1:11" x14ac:dyDescent="0.2">
      <c r="A16" s="5" t="s">
        <v>20</v>
      </c>
      <c r="B16" s="5"/>
      <c r="C16" s="6"/>
      <c r="D16" s="6"/>
      <c r="E16" s="6"/>
      <c r="F16" s="6"/>
      <c r="G16" s="5"/>
      <c r="H16" s="6"/>
      <c r="I16" s="6"/>
      <c r="J16" s="6"/>
      <c r="K16" s="6"/>
    </row>
    <row r="17" spans="1:11" x14ac:dyDescent="0.2">
      <c r="A17" s="3" t="s">
        <v>21</v>
      </c>
      <c r="C17" s="7">
        <v>1978718</v>
      </c>
      <c r="D17" s="7">
        <v>0</v>
      </c>
      <c r="E17" s="7">
        <v>0</v>
      </c>
      <c r="F17" s="8" t="e">
        <f>E17/D17</f>
        <v>#DIV/0!</v>
      </c>
      <c r="H17" s="7">
        <v>1978718</v>
      </c>
      <c r="I17" s="7">
        <v>4640000</v>
      </c>
      <c r="J17" s="7">
        <v>4640000</v>
      </c>
      <c r="K17" s="8">
        <f t="shared" ref="K17:K20" si="2">J17/I17</f>
        <v>1</v>
      </c>
    </row>
    <row r="18" spans="1:11" x14ac:dyDescent="0.2">
      <c r="A18" s="3" t="s">
        <v>22</v>
      </c>
      <c r="C18" s="7">
        <v>8796648</v>
      </c>
      <c r="D18" s="7">
        <v>3067685</v>
      </c>
      <c r="E18" s="7">
        <v>3067683</v>
      </c>
      <c r="F18" s="8">
        <f t="shared" ref="F18:F20" si="3">E18/D18</f>
        <v>0.99999934804257939</v>
      </c>
      <c r="H18" s="7">
        <v>8779830</v>
      </c>
      <c r="I18" s="7">
        <v>3665606</v>
      </c>
      <c r="J18" s="7">
        <v>3665606</v>
      </c>
      <c r="K18" s="8">
        <f t="shared" si="2"/>
        <v>1</v>
      </c>
    </row>
    <row r="19" spans="1:11" x14ac:dyDescent="0.2">
      <c r="A19" s="3" t="s">
        <v>23</v>
      </c>
      <c r="C19" s="7">
        <v>10004</v>
      </c>
      <c r="D19" s="7">
        <v>5004</v>
      </c>
      <c r="E19" s="7">
        <v>5117</v>
      </c>
      <c r="F19" s="8">
        <f t="shared" si="3"/>
        <v>1.0225819344524381</v>
      </c>
      <c r="H19" s="7">
        <v>10000</v>
      </c>
      <c r="I19" s="7">
        <v>30000</v>
      </c>
      <c r="J19" s="7">
        <v>1384301</v>
      </c>
      <c r="K19" s="8">
        <f t="shared" si="2"/>
        <v>46.143366666666665</v>
      </c>
    </row>
    <row r="20" spans="1:11" ht="13.5" thickBot="1" x14ac:dyDescent="0.25">
      <c r="A20" s="9"/>
      <c r="B20" s="10" t="s">
        <v>24</v>
      </c>
      <c r="C20" s="11">
        <f>SUM(C17:C19)</f>
        <v>10785370</v>
      </c>
      <c r="D20" s="11">
        <f>SUM(D17:D19)</f>
        <v>3072689</v>
      </c>
      <c r="E20" s="11">
        <f>SUM(E17:E19)</f>
        <v>3072800</v>
      </c>
      <c r="F20" s="12">
        <f t="shared" si="3"/>
        <v>1.0000361247103107</v>
      </c>
      <c r="G20" s="9"/>
      <c r="H20" s="11">
        <f>SUM(H17:H19)</f>
        <v>10768548</v>
      </c>
      <c r="I20" s="11">
        <f>SUM(I17:I19)</f>
        <v>8335606</v>
      </c>
      <c r="J20" s="11">
        <f>SUM(J17:J19)</f>
        <v>9689907</v>
      </c>
      <c r="K20" s="12">
        <f t="shared" si="2"/>
        <v>1.1624718106877892</v>
      </c>
    </row>
    <row r="21" spans="1:11" ht="13.5" thickTop="1" x14ac:dyDescent="0.2">
      <c r="B21" s="48"/>
      <c r="C21" s="49"/>
      <c r="D21" s="49"/>
      <c r="E21" s="49"/>
      <c r="F21" s="50"/>
      <c r="H21" s="49"/>
      <c r="I21" s="49"/>
      <c r="J21" s="49"/>
      <c r="K21" s="50"/>
    </row>
    <row r="22" spans="1:11" x14ac:dyDescent="0.2">
      <c r="A22" s="5" t="s">
        <v>25</v>
      </c>
      <c r="B22" s="5"/>
      <c r="C22" s="6"/>
      <c r="D22" s="6"/>
      <c r="E22" s="6"/>
      <c r="F22" s="6"/>
      <c r="G22" s="5"/>
      <c r="H22" s="6"/>
      <c r="I22" s="6"/>
      <c r="J22" s="6"/>
      <c r="K22" s="6"/>
    </row>
    <row r="23" spans="1:11" x14ac:dyDescent="0.2">
      <c r="A23" s="3" t="s">
        <v>26</v>
      </c>
      <c r="C23" s="7">
        <v>0</v>
      </c>
      <c r="D23" s="7">
        <v>0</v>
      </c>
      <c r="E23" s="7">
        <v>0</v>
      </c>
      <c r="F23" s="8" t="e">
        <f t="shared" ref="F23:F26" si="4">E23/D23</f>
        <v>#DIV/0!</v>
      </c>
      <c r="H23" s="7">
        <v>0</v>
      </c>
      <c r="I23" s="7">
        <v>0</v>
      </c>
      <c r="J23" s="7">
        <v>120310931</v>
      </c>
      <c r="K23" s="8" t="e">
        <f t="shared" ref="K23:K26" si="5">J23/I23</f>
        <v>#DIV/0!</v>
      </c>
    </row>
    <row r="24" spans="1:11" x14ac:dyDescent="0.2">
      <c r="A24" s="3" t="s">
        <v>27</v>
      </c>
      <c r="C24" s="7">
        <v>0</v>
      </c>
      <c r="D24" s="7">
        <v>0</v>
      </c>
      <c r="E24" s="7">
        <v>0</v>
      </c>
      <c r="F24" s="8" t="e">
        <f t="shared" si="4"/>
        <v>#DIV/0!</v>
      </c>
      <c r="H24" s="7">
        <v>0</v>
      </c>
      <c r="I24" s="7">
        <v>0</v>
      </c>
      <c r="J24" s="7">
        <v>49504076</v>
      </c>
      <c r="K24" s="8" t="e">
        <f t="shared" si="5"/>
        <v>#DIV/0!</v>
      </c>
    </row>
    <row r="25" spans="1:11" x14ac:dyDescent="0.2">
      <c r="A25" s="3" t="s">
        <v>28</v>
      </c>
      <c r="C25" s="7">
        <v>0</v>
      </c>
      <c r="D25" s="7">
        <v>0</v>
      </c>
      <c r="E25" s="7">
        <v>0</v>
      </c>
      <c r="F25" s="8" t="e">
        <f t="shared" si="4"/>
        <v>#DIV/0!</v>
      </c>
      <c r="H25" s="7">
        <v>0</v>
      </c>
      <c r="I25" s="7">
        <v>0</v>
      </c>
      <c r="J25" s="7">
        <v>-168434011</v>
      </c>
      <c r="K25" s="8" t="e">
        <f t="shared" si="5"/>
        <v>#DIV/0!</v>
      </c>
    </row>
    <row r="26" spans="1:11" ht="13.5" thickBot="1" x14ac:dyDescent="0.25">
      <c r="A26" s="9"/>
      <c r="B26" s="10" t="s">
        <v>29</v>
      </c>
      <c r="C26" s="11">
        <f>SUM(C23:C25)</f>
        <v>0</v>
      </c>
      <c r="D26" s="11">
        <f>SUM(D23:D25)</f>
        <v>0</v>
      </c>
      <c r="E26" s="11">
        <f>SUM(E23:E25)</f>
        <v>0</v>
      </c>
      <c r="F26" s="12" t="e">
        <f t="shared" si="4"/>
        <v>#DIV/0!</v>
      </c>
      <c r="G26" s="9"/>
      <c r="H26" s="11">
        <f>SUM(H23:H25)</f>
        <v>0</v>
      </c>
      <c r="I26" s="11">
        <f>SUM(I23:I25)</f>
        <v>0</v>
      </c>
      <c r="J26" s="11">
        <f>SUM(J23:J25)</f>
        <v>1380996</v>
      </c>
      <c r="K26" s="12" t="e">
        <f t="shared" si="5"/>
        <v>#DIV/0!</v>
      </c>
    </row>
    <row r="27" spans="1:11" ht="13.5" thickTop="1" x14ac:dyDescent="0.2">
      <c r="E27" s="7" t="s">
        <v>19</v>
      </c>
      <c r="J27" s="7" t="s">
        <v>19</v>
      </c>
    </row>
    <row r="28" spans="1:11" x14ac:dyDescent="0.2">
      <c r="A28" s="5" t="s">
        <v>30</v>
      </c>
      <c r="B28" s="5"/>
      <c r="C28" s="6"/>
      <c r="D28" s="6"/>
      <c r="E28" s="6"/>
      <c r="F28" s="6"/>
      <c r="G28" s="5"/>
      <c r="H28" s="6"/>
      <c r="I28" s="6"/>
      <c r="J28" s="6"/>
      <c r="K28" s="6"/>
    </row>
    <row r="29" spans="1:11" x14ac:dyDescent="0.2">
      <c r="A29" s="3" t="s">
        <v>31</v>
      </c>
      <c r="C29" s="7">
        <v>0</v>
      </c>
      <c r="D29" s="7">
        <v>0</v>
      </c>
      <c r="E29" s="7">
        <v>0</v>
      </c>
      <c r="F29" s="13">
        <v>0</v>
      </c>
      <c r="H29" s="7">
        <v>0</v>
      </c>
      <c r="I29" s="7">
        <v>0</v>
      </c>
      <c r="J29" s="7">
        <v>0</v>
      </c>
      <c r="K29" s="13">
        <v>0</v>
      </c>
    </row>
    <row r="30" spans="1:11" x14ac:dyDescent="0.2">
      <c r="A30" s="3" t="s">
        <v>32</v>
      </c>
      <c r="C30" s="7">
        <v>0</v>
      </c>
      <c r="D30" s="7">
        <v>0</v>
      </c>
      <c r="E30" s="7">
        <v>0</v>
      </c>
      <c r="F30" s="13">
        <v>0</v>
      </c>
      <c r="H30" s="7">
        <v>0</v>
      </c>
      <c r="I30" s="7">
        <v>0</v>
      </c>
      <c r="J30" s="7">
        <v>0</v>
      </c>
      <c r="K30" s="13">
        <v>0</v>
      </c>
    </row>
    <row r="31" spans="1:11" x14ac:dyDescent="0.2">
      <c r="A31" s="3" t="s">
        <v>33</v>
      </c>
      <c r="C31" s="7">
        <v>0</v>
      </c>
      <c r="D31" s="7">
        <v>0</v>
      </c>
      <c r="E31" s="7">
        <v>0</v>
      </c>
      <c r="F31" s="13">
        <v>0</v>
      </c>
      <c r="H31" s="7">
        <v>0</v>
      </c>
      <c r="I31" s="7">
        <v>0</v>
      </c>
      <c r="J31" s="7">
        <v>0</v>
      </c>
      <c r="K31" s="13">
        <v>0</v>
      </c>
    </row>
    <row r="32" spans="1:11" x14ac:dyDescent="0.2">
      <c r="A32" s="3" t="s">
        <v>34</v>
      </c>
      <c r="C32" s="7">
        <v>0</v>
      </c>
      <c r="D32" s="7">
        <v>0</v>
      </c>
      <c r="E32" s="7">
        <v>0</v>
      </c>
      <c r="F32" s="13">
        <v>0</v>
      </c>
      <c r="H32" s="7">
        <v>0</v>
      </c>
      <c r="I32" s="7">
        <v>0</v>
      </c>
      <c r="J32" s="7">
        <v>0</v>
      </c>
      <c r="K32" s="13">
        <v>0</v>
      </c>
    </row>
    <row r="33" spans="1:11" x14ac:dyDescent="0.2">
      <c r="A33" s="3" t="s">
        <v>35</v>
      </c>
      <c r="C33" s="7">
        <v>10785370</v>
      </c>
      <c r="D33" s="7">
        <f>D20</f>
        <v>3072689</v>
      </c>
      <c r="E33" s="7">
        <f>E20</f>
        <v>3072800</v>
      </c>
      <c r="F33" s="8">
        <f t="shared" ref="F33" si="6">E33/D33</f>
        <v>1.0000361247103107</v>
      </c>
      <c r="H33" s="7">
        <v>10785370</v>
      </c>
      <c r="I33" s="7">
        <f>I20</f>
        <v>8335606</v>
      </c>
      <c r="J33" s="7">
        <f>J20</f>
        <v>9689907</v>
      </c>
      <c r="K33" s="8">
        <f t="shared" ref="K33:K34" si="7">J33/I33</f>
        <v>1.1624718106877892</v>
      </c>
    </row>
    <row r="34" spans="1:11" x14ac:dyDescent="0.2">
      <c r="A34" s="3" t="s">
        <v>36</v>
      </c>
      <c r="C34" s="7">
        <v>0</v>
      </c>
      <c r="D34" s="7">
        <v>0</v>
      </c>
      <c r="E34" s="7">
        <v>0</v>
      </c>
      <c r="F34" s="13">
        <v>0</v>
      </c>
      <c r="H34" s="7">
        <v>0</v>
      </c>
      <c r="I34" s="7">
        <v>0</v>
      </c>
      <c r="J34" s="7">
        <f>J26</f>
        <v>1380996</v>
      </c>
      <c r="K34" s="8" t="e">
        <f t="shared" si="7"/>
        <v>#DIV/0!</v>
      </c>
    </row>
    <row r="35" spans="1:11" ht="13.5" thickBot="1" x14ac:dyDescent="0.25">
      <c r="A35" s="9"/>
      <c r="B35" s="10" t="s">
        <v>37</v>
      </c>
      <c r="C35" s="11">
        <f t="shared" ref="C35:F35" si="8">SUM(C29:C34)</f>
        <v>10785370</v>
      </c>
      <c r="D35" s="11">
        <f t="shared" si="8"/>
        <v>3072689</v>
      </c>
      <c r="E35" s="11">
        <f t="shared" si="8"/>
        <v>3072800</v>
      </c>
      <c r="F35" s="12">
        <f t="shared" si="8"/>
        <v>1.0000361247103107</v>
      </c>
      <c r="G35" s="9"/>
      <c r="H35" s="11">
        <f t="shared" ref="H35" si="9">SUM(H29:H34)</f>
        <v>10785370</v>
      </c>
      <c r="I35" s="11">
        <f t="shared" ref="I35" si="10">SUM(I29:I34)</f>
        <v>8335606</v>
      </c>
      <c r="J35" s="11">
        <f t="shared" ref="J35" si="11">SUM(J29:J34)</f>
        <v>11070903</v>
      </c>
      <c r="K35" s="12" t="e">
        <f t="shared" ref="K35" si="12">SUM(K29:K34)</f>
        <v>#DIV/0!</v>
      </c>
    </row>
    <row r="36" spans="1:11" ht="13.5" thickTop="1" x14ac:dyDescent="0.2"/>
    <row r="37" spans="1:11" ht="13.5" thickBot="1" x14ac:dyDescent="0.25">
      <c r="A37" s="9" t="s">
        <v>38</v>
      </c>
      <c r="B37" s="9"/>
      <c r="C37" s="11">
        <f>C14-C20</f>
        <v>945845</v>
      </c>
      <c r="D37" s="11">
        <f>D14-D20</f>
        <v>8135771</v>
      </c>
      <c r="E37" s="11">
        <f>E14-E20</f>
        <v>8177826</v>
      </c>
      <c r="F37" s="11"/>
      <c r="G37" s="9"/>
      <c r="H37" s="11">
        <f>H14-H20</f>
        <v>626506</v>
      </c>
      <c r="I37" s="11">
        <f>I14-I20</f>
        <v>2679394</v>
      </c>
      <c r="J37" s="11">
        <f>J14-J20+J26</f>
        <v>3518307.3900000006</v>
      </c>
      <c r="K37" s="11"/>
    </row>
    <row r="38" spans="1:11" ht="13.5" thickTop="1" x14ac:dyDescent="0.2"/>
    <row r="39" spans="1:11" ht="13.5" thickBot="1" x14ac:dyDescent="0.25">
      <c r="A39" s="9" t="s">
        <v>39</v>
      </c>
      <c r="B39" s="9"/>
      <c r="C39" s="11"/>
      <c r="D39" s="11"/>
      <c r="E39" s="11">
        <v>14846976</v>
      </c>
      <c r="F39" s="11"/>
      <c r="G39" s="9"/>
      <c r="H39" s="11"/>
      <c r="I39" s="11"/>
      <c r="J39" s="11">
        <f>E39+J37</f>
        <v>18365283.390000001</v>
      </c>
      <c r="K39" s="11"/>
    </row>
    <row r="40" spans="1:11" ht="13.5" thickTop="1" x14ac:dyDescent="0.2"/>
    <row r="41" spans="1:11" x14ac:dyDescent="0.2">
      <c r="A41" s="3" t="s">
        <v>40</v>
      </c>
    </row>
  </sheetData>
  <mergeCells count="5">
    <mergeCell ref="C5:F5"/>
    <mergeCell ref="H5:K5"/>
    <mergeCell ref="A1:K1"/>
    <mergeCell ref="A2:K2"/>
    <mergeCell ref="A3:K3"/>
  </mergeCells>
  <printOptions horizontalCentered="1"/>
  <pageMargins left="0.25" right="0.25" top="0.75" bottom="0.75" header="0.3" footer="0.3"/>
  <pageSetup scale="9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3"/>
  <sheetViews>
    <sheetView workbookViewId="0">
      <selection activeCell="A4" sqref="A4:D4"/>
    </sheetView>
  </sheetViews>
  <sheetFormatPr defaultRowHeight="15" x14ac:dyDescent="0.25"/>
  <cols>
    <col min="1" max="1" width="15.28515625" customWidth="1"/>
    <col min="2" max="2" width="1.85546875" customWidth="1"/>
    <col min="3" max="3" width="20.42578125" customWidth="1"/>
    <col min="4" max="4" width="2" customWidth="1"/>
    <col min="5" max="5" width="13.5703125" customWidth="1"/>
    <col min="6" max="6" width="2.28515625" customWidth="1"/>
    <col min="7" max="7" width="19.140625" customWidth="1"/>
    <col min="8" max="8" width="1.85546875" customWidth="1"/>
    <col min="9" max="9" width="36" customWidth="1"/>
  </cols>
  <sheetData>
    <row r="1" spans="1:15" ht="15.75" x14ac:dyDescent="0.25">
      <c r="A1" s="57" t="s">
        <v>3</v>
      </c>
      <c r="B1" s="57"/>
      <c r="C1" s="57"/>
      <c r="D1" s="57"/>
      <c r="E1" s="57"/>
      <c r="F1" s="57"/>
      <c r="G1" s="57"/>
      <c r="H1" s="57"/>
      <c r="I1" s="57"/>
      <c r="J1" s="1"/>
      <c r="K1" s="1"/>
      <c r="L1" s="1"/>
      <c r="M1" s="1"/>
      <c r="N1" s="1"/>
      <c r="O1" s="1"/>
    </row>
    <row r="2" spans="1:15" ht="15.75" x14ac:dyDescent="0.25">
      <c r="A2" s="58" t="s">
        <v>41</v>
      </c>
      <c r="B2" s="58"/>
      <c r="C2" s="58"/>
      <c r="D2" s="58"/>
      <c r="E2" s="58"/>
      <c r="F2" s="58"/>
      <c r="G2" s="58"/>
      <c r="H2" s="58"/>
      <c r="I2" s="58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45" t="s">
        <v>42</v>
      </c>
      <c r="B4" s="45"/>
      <c r="C4" s="47"/>
      <c r="D4" s="47"/>
    </row>
    <row r="5" spans="1:15" x14ac:dyDescent="0.25">
      <c r="A5" s="1" t="s">
        <v>43</v>
      </c>
      <c r="B5" s="1"/>
      <c r="E5" s="1" t="s">
        <v>44</v>
      </c>
      <c r="F5" s="1"/>
      <c r="G5" s="1" t="s">
        <v>45</v>
      </c>
      <c r="H5" s="1"/>
    </row>
    <row r="6" spans="1:15" x14ac:dyDescent="0.25">
      <c r="A6" s="14" t="s">
        <v>46</v>
      </c>
      <c r="B6" s="14"/>
      <c r="C6" s="14" t="s">
        <v>47</v>
      </c>
      <c r="D6" s="14"/>
      <c r="E6" s="14" t="s">
        <v>48</v>
      </c>
      <c r="F6" s="14"/>
      <c r="G6" s="14" t="s">
        <v>48</v>
      </c>
      <c r="H6" s="14"/>
      <c r="I6" s="15" t="s">
        <v>49</v>
      </c>
    </row>
    <row r="7" spans="1:15" x14ac:dyDescent="0.25">
      <c r="A7" s="1">
        <v>2003</v>
      </c>
      <c r="B7" s="1"/>
      <c r="C7" s="18">
        <v>20883645</v>
      </c>
      <c r="D7" s="2"/>
      <c r="E7" s="2">
        <v>0</v>
      </c>
      <c r="F7" s="2"/>
      <c r="G7" s="18">
        <f>C7</f>
        <v>20883645</v>
      </c>
      <c r="H7" s="2"/>
      <c r="I7" t="s">
        <v>50</v>
      </c>
    </row>
    <row r="8" spans="1:15" x14ac:dyDescent="0.25">
      <c r="A8" s="1">
        <v>2011</v>
      </c>
      <c r="B8" s="1"/>
      <c r="C8" s="18">
        <v>8328990</v>
      </c>
      <c r="D8" s="2"/>
      <c r="E8" s="2">
        <v>0</v>
      </c>
      <c r="F8" s="2"/>
      <c r="G8" s="18">
        <f t="shared" ref="G8:G14" si="0">C8</f>
        <v>8328990</v>
      </c>
      <c r="H8" s="2"/>
      <c r="I8" t="s">
        <v>51</v>
      </c>
    </row>
    <row r="9" spans="1:15" x14ac:dyDescent="0.25">
      <c r="A9" s="1">
        <v>2012</v>
      </c>
      <c r="B9" s="1"/>
      <c r="C9" s="18">
        <v>30574884</v>
      </c>
      <c r="D9" s="2"/>
      <c r="E9" s="2">
        <v>0</v>
      </c>
      <c r="F9" s="2"/>
      <c r="G9" s="18">
        <f t="shared" si="0"/>
        <v>30574884</v>
      </c>
      <c r="H9" s="2"/>
      <c r="I9" t="s">
        <v>51</v>
      </c>
    </row>
    <row r="10" spans="1:15" x14ac:dyDescent="0.25">
      <c r="A10" s="1">
        <v>2013</v>
      </c>
      <c r="B10" s="1"/>
      <c r="C10" s="18">
        <v>40160142</v>
      </c>
      <c r="D10" s="2"/>
      <c r="E10" s="2">
        <v>0</v>
      </c>
      <c r="F10" s="2"/>
      <c r="G10" s="18">
        <f t="shared" si="0"/>
        <v>40160142</v>
      </c>
      <c r="H10" s="2"/>
      <c r="I10" t="s">
        <v>51</v>
      </c>
    </row>
    <row r="11" spans="1:15" x14ac:dyDescent="0.25">
      <c r="A11" s="1">
        <v>2014</v>
      </c>
      <c r="B11" s="1"/>
      <c r="C11" s="18">
        <v>49374874</v>
      </c>
      <c r="D11" s="2"/>
      <c r="E11" s="2">
        <v>0</v>
      </c>
      <c r="F11" s="2"/>
      <c r="G11" s="18">
        <f t="shared" si="0"/>
        <v>49374874</v>
      </c>
      <c r="H11" s="2"/>
      <c r="I11" t="s">
        <v>51</v>
      </c>
    </row>
    <row r="12" spans="1:15" x14ac:dyDescent="0.25">
      <c r="A12" s="1" t="s">
        <v>52</v>
      </c>
      <c r="B12" s="1"/>
      <c r="C12" s="18">
        <v>16155000</v>
      </c>
      <c r="D12" s="2"/>
      <c r="E12" s="2">
        <v>0</v>
      </c>
      <c r="F12" s="2"/>
      <c r="G12" s="18">
        <f t="shared" si="0"/>
        <v>16155000</v>
      </c>
      <c r="H12" s="2"/>
      <c r="I12" t="s">
        <v>51</v>
      </c>
    </row>
    <row r="13" spans="1:15" x14ac:dyDescent="0.25">
      <c r="A13" s="1" t="s">
        <v>53</v>
      </c>
      <c r="B13" s="1"/>
      <c r="C13" s="18">
        <v>7268826</v>
      </c>
      <c r="D13" s="2"/>
      <c r="E13" s="2">
        <v>0</v>
      </c>
      <c r="F13" s="2"/>
      <c r="G13" s="18">
        <f t="shared" si="0"/>
        <v>7268826</v>
      </c>
      <c r="H13" s="2"/>
      <c r="I13" t="s">
        <v>51</v>
      </c>
    </row>
    <row r="14" spans="1:15" x14ac:dyDescent="0.25">
      <c r="A14" s="1">
        <v>2016</v>
      </c>
      <c r="B14" s="1"/>
      <c r="C14" s="18">
        <v>2115000</v>
      </c>
      <c r="D14" s="2"/>
      <c r="E14" s="2">
        <v>0</v>
      </c>
      <c r="F14" s="2"/>
      <c r="G14" s="18">
        <f t="shared" si="0"/>
        <v>2115000</v>
      </c>
      <c r="H14" s="2"/>
      <c r="I14" t="s">
        <v>51</v>
      </c>
    </row>
    <row r="15" spans="1:15" x14ac:dyDescent="0.25">
      <c r="A15" s="1">
        <v>2020</v>
      </c>
      <c r="B15" s="1"/>
      <c r="C15" s="18">
        <v>7661645</v>
      </c>
      <c r="D15" s="2"/>
      <c r="E15" s="2">
        <v>0</v>
      </c>
      <c r="F15" s="2"/>
      <c r="G15" s="18">
        <f t="shared" ref="G15:G16" si="1">C15</f>
        <v>7661645</v>
      </c>
      <c r="H15" s="2"/>
      <c r="I15" t="s">
        <v>51</v>
      </c>
    </row>
    <row r="16" spans="1:15" x14ac:dyDescent="0.25">
      <c r="A16" s="1" t="s">
        <v>54</v>
      </c>
      <c r="B16" s="1"/>
      <c r="C16" s="18">
        <v>112649286</v>
      </c>
      <c r="D16" s="2"/>
      <c r="E16" s="2">
        <v>0</v>
      </c>
      <c r="F16" s="2"/>
      <c r="G16" s="18">
        <f t="shared" si="1"/>
        <v>112649286</v>
      </c>
      <c r="H16" s="2"/>
      <c r="I16" t="s">
        <v>51</v>
      </c>
    </row>
    <row r="17" spans="1:9" x14ac:dyDescent="0.25">
      <c r="C17" s="19"/>
      <c r="G17" s="19"/>
    </row>
    <row r="18" spans="1:9" x14ac:dyDescent="0.25">
      <c r="A18" s="45" t="s">
        <v>55</v>
      </c>
      <c r="B18" s="45"/>
      <c r="C18" s="46"/>
      <c r="D18" s="47"/>
      <c r="G18" s="19"/>
    </row>
    <row r="19" spans="1:9" x14ac:dyDescent="0.25">
      <c r="A19" s="1" t="s">
        <v>43</v>
      </c>
      <c r="B19" s="1"/>
      <c r="C19" s="19"/>
      <c r="E19" s="1" t="s">
        <v>44</v>
      </c>
      <c r="F19" s="1"/>
      <c r="G19" s="43" t="s">
        <v>45</v>
      </c>
      <c r="H19" s="1"/>
    </row>
    <row r="20" spans="1:9" x14ac:dyDescent="0.25">
      <c r="A20" s="14" t="s">
        <v>46</v>
      </c>
      <c r="B20" s="14"/>
      <c r="C20" s="39" t="s">
        <v>47</v>
      </c>
      <c r="D20" s="14"/>
      <c r="E20" s="14" t="s">
        <v>48</v>
      </c>
      <c r="F20" s="14"/>
      <c r="G20" s="39" t="s">
        <v>48</v>
      </c>
      <c r="H20" s="14"/>
      <c r="I20" s="15" t="s">
        <v>49</v>
      </c>
    </row>
    <row r="21" spans="1:9" x14ac:dyDescent="0.25">
      <c r="A21" s="1">
        <v>2013</v>
      </c>
      <c r="B21" s="1"/>
      <c r="C21" s="18">
        <v>4610000</v>
      </c>
      <c r="D21" s="2"/>
      <c r="E21" s="2">
        <v>0</v>
      </c>
      <c r="F21" s="2"/>
      <c r="G21" s="18">
        <f>C21</f>
        <v>4610000</v>
      </c>
      <c r="H21" s="2"/>
      <c r="I21" t="s">
        <v>56</v>
      </c>
    </row>
    <row r="22" spans="1:9" x14ac:dyDescent="0.25">
      <c r="A22" s="1">
        <v>2015</v>
      </c>
      <c r="B22" s="1"/>
      <c r="C22" s="40">
        <v>1400000</v>
      </c>
      <c r="D22" s="26"/>
      <c r="E22" s="26">
        <v>0</v>
      </c>
      <c r="F22" s="26"/>
      <c r="G22" s="40">
        <f t="shared" ref="G22" si="2">C22</f>
        <v>1400000</v>
      </c>
      <c r="H22" s="26"/>
      <c r="I22" t="s">
        <v>57</v>
      </c>
    </row>
    <row r="23" spans="1:9" x14ac:dyDescent="0.25">
      <c r="A23" s="14">
        <v>2017</v>
      </c>
      <c r="B23" s="14"/>
      <c r="C23" s="41">
        <v>825000</v>
      </c>
      <c r="D23" s="16"/>
      <c r="E23" s="16">
        <v>0</v>
      </c>
      <c r="F23" s="16"/>
      <c r="G23" s="41">
        <f t="shared" ref="G23" si="3">C23</f>
        <v>825000</v>
      </c>
      <c r="H23" s="16"/>
      <c r="I23" s="15" t="s">
        <v>58</v>
      </c>
    </row>
    <row r="24" spans="1:9" x14ac:dyDescent="0.25">
      <c r="A24" s="1"/>
      <c r="B24" s="1"/>
      <c r="C24" s="40"/>
      <c r="D24" s="26"/>
      <c r="E24" s="26"/>
      <c r="F24" s="26"/>
      <c r="G24" s="40"/>
      <c r="H24" s="26"/>
    </row>
    <row r="25" spans="1:9" x14ac:dyDescent="0.25">
      <c r="A25" s="45" t="s">
        <v>59</v>
      </c>
      <c r="B25" s="45"/>
      <c r="C25" s="46"/>
      <c r="G25" s="19"/>
    </row>
    <row r="26" spans="1:9" x14ac:dyDescent="0.25">
      <c r="A26" s="1" t="s">
        <v>43</v>
      </c>
      <c r="B26" s="1"/>
      <c r="C26" s="19"/>
      <c r="E26" s="1" t="s">
        <v>44</v>
      </c>
      <c r="F26" s="1"/>
      <c r="G26" s="43" t="s">
        <v>45</v>
      </c>
      <c r="H26" s="1"/>
    </row>
    <row r="27" spans="1:9" x14ac:dyDescent="0.25">
      <c r="A27" s="14" t="s">
        <v>46</v>
      </c>
      <c r="B27" s="14"/>
      <c r="C27" s="39" t="s">
        <v>47</v>
      </c>
      <c r="D27" s="14"/>
      <c r="E27" s="14" t="s">
        <v>48</v>
      </c>
      <c r="F27" s="14"/>
      <c r="G27" s="39" t="s">
        <v>48</v>
      </c>
      <c r="H27" s="14"/>
      <c r="I27" s="15" t="s">
        <v>49</v>
      </c>
    </row>
    <row r="28" spans="1:9" x14ac:dyDescent="0.25">
      <c r="A28" s="36">
        <v>2019</v>
      </c>
      <c r="B28" s="36"/>
      <c r="C28" s="42">
        <v>758034</v>
      </c>
      <c r="D28" s="37"/>
      <c r="E28" s="37">
        <v>0</v>
      </c>
      <c r="F28" s="37"/>
      <c r="G28" s="42">
        <f>C28</f>
        <v>758034</v>
      </c>
      <c r="H28" s="37"/>
      <c r="I28" s="38" t="s">
        <v>60</v>
      </c>
    </row>
    <row r="29" spans="1:9" x14ac:dyDescent="0.25">
      <c r="A29" s="1"/>
      <c r="B29" s="1"/>
      <c r="C29" s="26"/>
      <c r="D29" s="26"/>
      <c r="E29" s="26"/>
      <c r="F29" s="26"/>
      <c r="G29" s="26"/>
      <c r="H29" s="26"/>
    </row>
    <row r="30" spans="1:9" x14ac:dyDescent="0.25">
      <c r="A30" s="27" t="s">
        <v>61</v>
      </c>
      <c r="B30" s="27"/>
    </row>
    <row r="31" spans="1:9" x14ac:dyDescent="0.25">
      <c r="E31" t="s">
        <v>62</v>
      </c>
      <c r="G31" t="s">
        <v>63</v>
      </c>
    </row>
    <row r="32" spans="1:9" x14ac:dyDescent="0.25">
      <c r="A32" t="s">
        <v>64</v>
      </c>
      <c r="E32" t="s">
        <v>65</v>
      </c>
      <c r="G32" t="s">
        <v>66</v>
      </c>
    </row>
    <row r="33" spans="1:7" x14ac:dyDescent="0.25">
      <c r="A33" t="s">
        <v>67</v>
      </c>
      <c r="E33" t="s">
        <v>68</v>
      </c>
      <c r="G33" t="s">
        <v>69</v>
      </c>
    </row>
  </sheetData>
  <mergeCells count="2">
    <mergeCell ref="A1:I1"/>
    <mergeCell ref="A2:I2"/>
  </mergeCells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6"/>
  <sheetViews>
    <sheetView tabSelected="1" workbookViewId="0">
      <selection activeCell="A2" sqref="A2:F2"/>
    </sheetView>
  </sheetViews>
  <sheetFormatPr defaultRowHeight="15" x14ac:dyDescent="0.25"/>
  <cols>
    <col min="1" max="1" width="18.5703125" customWidth="1"/>
    <col min="2" max="2" width="21.28515625" customWidth="1"/>
    <col min="3" max="3" width="11.5703125" customWidth="1"/>
    <col min="4" max="6" width="17.42578125" style="18" customWidth="1"/>
    <col min="7" max="7" width="14.28515625" bestFit="1" customWidth="1"/>
  </cols>
  <sheetData>
    <row r="1" spans="1:7" x14ac:dyDescent="0.25">
      <c r="A1" s="59" t="s">
        <v>3</v>
      </c>
      <c r="B1" s="59"/>
      <c r="C1" s="59"/>
      <c r="D1" s="59"/>
      <c r="E1" s="59"/>
      <c r="F1" s="59"/>
    </row>
    <row r="2" spans="1:7" x14ac:dyDescent="0.25">
      <c r="A2" s="55" t="s">
        <v>70</v>
      </c>
      <c r="B2" s="55"/>
      <c r="C2" s="55"/>
      <c r="D2" s="55"/>
      <c r="E2" s="55"/>
      <c r="F2" s="55"/>
    </row>
    <row r="4" spans="1:7" x14ac:dyDescent="0.25">
      <c r="A4" s="47" t="s">
        <v>71</v>
      </c>
      <c r="B4" s="1" t="s">
        <v>72</v>
      </c>
      <c r="C4" s="1" t="s">
        <v>73</v>
      </c>
      <c r="D4" s="22" t="s">
        <v>74</v>
      </c>
      <c r="E4" s="22" t="s">
        <v>75</v>
      </c>
      <c r="F4" s="22" t="s">
        <v>76</v>
      </c>
    </row>
    <row r="5" spans="1:7" x14ac:dyDescent="0.25">
      <c r="A5" s="17" t="s">
        <v>77</v>
      </c>
      <c r="B5" s="17" t="s">
        <v>48</v>
      </c>
      <c r="C5" s="17" t="s">
        <v>78</v>
      </c>
      <c r="D5" s="23" t="s">
        <v>79</v>
      </c>
      <c r="E5" s="23" t="s">
        <v>79</v>
      </c>
      <c r="F5" s="23" t="s">
        <v>80</v>
      </c>
    </row>
    <row r="6" spans="1:7" x14ac:dyDescent="0.25">
      <c r="A6" s="1">
        <v>2003</v>
      </c>
      <c r="B6" s="18">
        <v>20883645</v>
      </c>
      <c r="C6" s="21">
        <v>46614</v>
      </c>
      <c r="D6" s="18">
        <v>2669134</v>
      </c>
      <c r="E6" s="18">
        <v>8480866.4000000004</v>
      </c>
      <c r="F6" s="18">
        <f>D6+E6</f>
        <v>11150000.4</v>
      </c>
    </row>
    <row r="7" spans="1:7" x14ac:dyDescent="0.25">
      <c r="A7" s="1" t="s">
        <v>81</v>
      </c>
      <c r="B7" s="18">
        <v>8328990</v>
      </c>
      <c r="C7" s="21">
        <v>44423</v>
      </c>
      <c r="D7" s="18">
        <v>70000</v>
      </c>
      <c r="E7" s="18">
        <v>1400</v>
      </c>
      <c r="F7" s="18">
        <f t="shared" ref="F7:F13" si="0">D7+E7</f>
        <v>71400</v>
      </c>
    </row>
    <row r="8" spans="1:7" x14ac:dyDescent="0.25">
      <c r="A8" s="1" t="s">
        <v>82</v>
      </c>
      <c r="B8" s="18">
        <v>30574884</v>
      </c>
      <c r="C8" s="21">
        <v>44788</v>
      </c>
      <c r="D8" s="18">
        <v>1102474.2</v>
      </c>
      <c r="E8" s="18">
        <v>5427525.7999999998</v>
      </c>
      <c r="F8" s="18">
        <f t="shared" si="0"/>
        <v>6530000</v>
      </c>
    </row>
    <row r="9" spans="1:7" x14ac:dyDescent="0.25">
      <c r="A9" s="1" t="s">
        <v>83</v>
      </c>
      <c r="B9" s="18">
        <v>40160142</v>
      </c>
      <c r="C9" s="21">
        <v>45153</v>
      </c>
      <c r="D9" s="18">
        <v>1700000</v>
      </c>
      <c r="E9" s="18">
        <f>92400-22650</f>
        <v>69750</v>
      </c>
      <c r="F9" s="18">
        <f t="shared" si="0"/>
        <v>1769750</v>
      </c>
    </row>
    <row r="10" spans="1:7" x14ac:dyDescent="0.25">
      <c r="A10" s="1" t="s">
        <v>84</v>
      </c>
      <c r="B10" s="18">
        <v>49374874</v>
      </c>
      <c r="C10" s="21">
        <v>53189</v>
      </c>
      <c r="D10" s="18">
        <f>772000.2</f>
        <v>772000.2</v>
      </c>
      <c r="E10" s="18">
        <f>2396750-9375</f>
        <v>2387375</v>
      </c>
      <c r="F10" s="18">
        <f t="shared" si="0"/>
        <v>3159375.2</v>
      </c>
    </row>
    <row r="11" spans="1:7" x14ac:dyDescent="0.25">
      <c r="A11" s="1" t="s">
        <v>85</v>
      </c>
      <c r="B11" s="18">
        <v>16155000</v>
      </c>
      <c r="C11" s="21">
        <v>50267</v>
      </c>
      <c r="D11" s="18">
        <v>12490000</v>
      </c>
      <c r="E11" s="18">
        <f>5204006.38-277278.13</f>
        <v>4926728.25</v>
      </c>
      <c r="F11" s="18">
        <f t="shared" si="0"/>
        <v>17416728.25</v>
      </c>
      <c r="G11" s="32" t="s">
        <v>19</v>
      </c>
    </row>
    <row r="12" spans="1:7" x14ac:dyDescent="0.25">
      <c r="A12" s="1" t="s">
        <v>86</v>
      </c>
      <c r="B12" s="18">
        <v>7268826</v>
      </c>
      <c r="C12" s="21">
        <v>53189</v>
      </c>
      <c r="D12" s="18">
        <v>6983826</v>
      </c>
      <c r="E12" s="18">
        <f>12144368-125203</f>
        <v>12019165</v>
      </c>
      <c r="F12" s="18">
        <f t="shared" si="0"/>
        <v>19002991</v>
      </c>
      <c r="G12" s="32" t="s">
        <v>19</v>
      </c>
    </row>
    <row r="13" spans="1:7" x14ac:dyDescent="0.25">
      <c r="A13" s="1" t="s">
        <v>87</v>
      </c>
      <c r="B13" s="18">
        <v>2115000</v>
      </c>
      <c r="C13" s="21">
        <v>48441</v>
      </c>
      <c r="D13" s="18">
        <v>1150000</v>
      </c>
      <c r="E13" s="18">
        <f>213400-17075</f>
        <v>196325</v>
      </c>
      <c r="F13" s="18">
        <f t="shared" si="0"/>
        <v>1346325</v>
      </c>
    </row>
    <row r="14" spans="1:7" x14ac:dyDescent="0.25">
      <c r="A14" s="1" t="s">
        <v>88</v>
      </c>
      <c r="B14" s="18">
        <v>7661645</v>
      </c>
      <c r="C14" s="21">
        <v>49171</v>
      </c>
      <c r="D14" s="18">
        <v>7661644.5</v>
      </c>
      <c r="E14" s="18">
        <f>4690299-144943</f>
        <v>4545356</v>
      </c>
      <c r="F14" s="18">
        <f t="shared" ref="F14:F15" si="1">D14+E14</f>
        <v>12207000.5</v>
      </c>
    </row>
    <row r="15" spans="1:7" x14ac:dyDescent="0.25">
      <c r="A15" s="1" t="s">
        <v>54</v>
      </c>
      <c r="B15" s="18">
        <v>112649286</v>
      </c>
      <c r="C15" s="21">
        <v>53189</v>
      </c>
      <c r="D15" s="18">
        <v>112649287</v>
      </c>
      <c r="E15" s="18">
        <f>119362680</f>
        <v>119362680</v>
      </c>
      <c r="F15" s="18">
        <f t="shared" si="1"/>
        <v>232011967</v>
      </c>
    </row>
    <row r="16" spans="1:7" ht="15.75" thickBot="1" x14ac:dyDescent="0.3">
      <c r="A16" s="1" t="s">
        <v>89</v>
      </c>
      <c r="B16" s="24">
        <f>SUM(B6:B15)</f>
        <v>295172292</v>
      </c>
      <c r="D16" s="24">
        <f t="shared" ref="D16:F16" si="2">SUM(D6:D15)</f>
        <v>147248365.90000001</v>
      </c>
      <c r="E16" s="24">
        <f t="shared" si="2"/>
        <v>157417171.44999999</v>
      </c>
      <c r="F16" s="24">
        <f t="shared" si="2"/>
        <v>304665537.35000002</v>
      </c>
    </row>
    <row r="17" spans="1:7" ht="15.75" thickTop="1" x14ac:dyDescent="0.25">
      <c r="E17" s="18" t="s">
        <v>19</v>
      </c>
      <c r="F17" s="18" t="s">
        <v>19</v>
      </c>
    </row>
    <row r="18" spans="1:7" x14ac:dyDescent="0.25">
      <c r="A18" s="47" t="s">
        <v>90</v>
      </c>
      <c r="E18" s="18" t="s">
        <v>19</v>
      </c>
      <c r="F18" s="18" t="s">
        <v>19</v>
      </c>
    </row>
    <row r="19" spans="1:7" x14ac:dyDescent="0.25">
      <c r="B19" s="1" t="s">
        <v>72</v>
      </c>
      <c r="C19" s="1" t="s">
        <v>73</v>
      </c>
      <c r="D19" s="22" t="s">
        <v>74</v>
      </c>
      <c r="E19" s="22" t="s">
        <v>75</v>
      </c>
      <c r="F19" s="22" t="s">
        <v>76</v>
      </c>
    </row>
    <row r="20" spans="1:7" x14ac:dyDescent="0.25">
      <c r="A20" s="17" t="s">
        <v>19</v>
      </c>
      <c r="B20" s="17" t="s">
        <v>48</v>
      </c>
      <c r="C20" s="17" t="s">
        <v>78</v>
      </c>
      <c r="D20" s="23" t="s">
        <v>79</v>
      </c>
      <c r="E20" s="23" t="s">
        <v>79</v>
      </c>
      <c r="F20" s="23" t="s">
        <v>80</v>
      </c>
    </row>
    <row r="21" spans="1:7" x14ac:dyDescent="0.25">
      <c r="A21" s="1">
        <v>2013</v>
      </c>
      <c r="B21" s="35">
        <v>4610000</v>
      </c>
      <c r="C21" s="21">
        <v>46996</v>
      </c>
      <c r="D21" s="18">
        <v>2315000</v>
      </c>
      <c r="E21" s="18">
        <f>254184-31297+1</f>
        <v>222888</v>
      </c>
      <c r="F21" s="18">
        <f t="shared" ref="F21:F23" si="3">D21+E21</f>
        <v>2537888</v>
      </c>
    </row>
    <row r="22" spans="1:7" x14ac:dyDescent="0.25">
      <c r="A22" s="1">
        <v>2015</v>
      </c>
      <c r="B22" s="35">
        <v>1400000</v>
      </c>
      <c r="C22" s="21">
        <v>45900</v>
      </c>
      <c r="D22" s="18">
        <v>740000</v>
      </c>
      <c r="E22" s="18">
        <f>56149.5-9213</f>
        <v>46936.5</v>
      </c>
      <c r="F22" s="18">
        <f t="shared" ref="F22" si="4">D22+E22</f>
        <v>786936.5</v>
      </c>
    </row>
    <row r="23" spans="1:7" x14ac:dyDescent="0.25">
      <c r="A23" s="1">
        <v>2017</v>
      </c>
      <c r="B23" s="35">
        <v>825000</v>
      </c>
      <c r="C23" s="21">
        <v>46600</v>
      </c>
      <c r="D23" s="18">
        <v>600000</v>
      </c>
      <c r="E23" s="18">
        <f>57447-7020</f>
        <v>50427</v>
      </c>
      <c r="F23" s="18">
        <f t="shared" si="3"/>
        <v>650427</v>
      </c>
      <c r="G23" t="s">
        <v>19</v>
      </c>
    </row>
    <row r="24" spans="1:7" ht="15.75" thickBot="1" x14ac:dyDescent="0.3">
      <c r="A24" s="1" t="s">
        <v>91</v>
      </c>
      <c r="B24" s="24">
        <f>SUM(B21:B23)</f>
        <v>6835000</v>
      </c>
      <c r="C24" t="s">
        <v>19</v>
      </c>
      <c r="D24" s="24">
        <f t="shared" ref="D24:F24" si="5">SUM(D21:D23)</f>
        <v>3655000</v>
      </c>
      <c r="E24" s="24">
        <f t="shared" si="5"/>
        <v>320251.5</v>
      </c>
      <c r="F24" s="24">
        <f t="shared" si="5"/>
        <v>3975251.5</v>
      </c>
    </row>
    <row r="25" spans="1:7" ht="15.75" thickTop="1" x14ac:dyDescent="0.25">
      <c r="F25" s="18" t="s">
        <v>19</v>
      </c>
    </row>
    <row r="26" spans="1:7" x14ac:dyDescent="0.25">
      <c r="A26" s="47" t="s">
        <v>92</v>
      </c>
      <c r="E26" s="22" t="s">
        <v>19</v>
      </c>
    </row>
    <row r="27" spans="1:7" x14ac:dyDescent="0.25">
      <c r="B27" s="1" t="s">
        <v>72</v>
      </c>
      <c r="C27" s="1" t="s">
        <v>73</v>
      </c>
      <c r="D27" s="22" t="s">
        <v>74</v>
      </c>
      <c r="E27" s="22" t="s">
        <v>75</v>
      </c>
      <c r="F27" s="22" t="s">
        <v>76</v>
      </c>
    </row>
    <row r="28" spans="1:7" x14ac:dyDescent="0.25">
      <c r="A28" s="17"/>
      <c r="B28" s="17" t="s">
        <v>48</v>
      </c>
      <c r="C28" s="17" t="s">
        <v>78</v>
      </c>
      <c r="D28" s="23" t="s">
        <v>79</v>
      </c>
      <c r="E28" s="23" t="s">
        <v>79</v>
      </c>
      <c r="F28" s="23" t="s">
        <v>80</v>
      </c>
    </row>
    <row r="29" spans="1:7" x14ac:dyDescent="0.25">
      <c r="A29" s="1">
        <v>2019</v>
      </c>
      <c r="B29" s="35">
        <v>758034</v>
      </c>
      <c r="C29" s="21">
        <v>46249</v>
      </c>
      <c r="D29" s="18">
        <v>657251</v>
      </c>
      <c r="E29" s="18">
        <v>48412</v>
      </c>
      <c r="F29" s="18">
        <f>D29+E29</f>
        <v>705663</v>
      </c>
    </row>
    <row r="30" spans="1:7" ht="15.75" thickBot="1" x14ac:dyDescent="0.3">
      <c r="A30" s="1" t="s">
        <v>93</v>
      </c>
      <c r="B30" s="24">
        <f>SUM(B29:B29)</f>
        <v>758034</v>
      </c>
      <c r="D30" s="24">
        <f>SUM(D29:D29)</f>
        <v>657251</v>
      </c>
      <c r="E30" s="24">
        <f>SUM(E29:E29)</f>
        <v>48412</v>
      </c>
      <c r="F30" s="24">
        <f>SUM(F29:F29)</f>
        <v>705663</v>
      </c>
    </row>
    <row r="31" spans="1:7" ht="15.75" thickTop="1" x14ac:dyDescent="0.25">
      <c r="E31" s="18" t="s">
        <v>19</v>
      </c>
    </row>
    <row r="33" spans="1:6" ht="15.75" thickBot="1" x14ac:dyDescent="0.3">
      <c r="A33" t="s">
        <v>94</v>
      </c>
      <c r="B33" s="25">
        <f>B24+B16+B30</f>
        <v>302765326</v>
      </c>
      <c r="D33" s="25">
        <f>D24+D16+D30</f>
        <v>151560616.90000001</v>
      </c>
      <c r="E33" s="25">
        <f>E24+E16+E30</f>
        <v>157785834.94999999</v>
      </c>
      <c r="F33" s="25">
        <f>F24+F16+F30</f>
        <v>309346451.85000002</v>
      </c>
    </row>
    <row r="35" spans="1:6" x14ac:dyDescent="0.25">
      <c r="A35" s="3" t="s">
        <v>19</v>
      </c>
    </row>
    <row r="36" spans="1:6" x14ac:dyDescent="0.25">
      <c r="D36" s="18" t="s">
        <v>19</v>
      </c>
    </row>
  </sheetData>
  <mergeCells count="2">
    <mergeCell ref="A1:F1"/>
    <mergeCell ref="A2:F2"/>
  </mergeCells>
  <printOptions horizontalCentered="1"/>
  <pageMargins left="0.7" right="0.7" top="0.75" bottom="0.75" header="0.3" footer="0.3"/>
  <pageSetup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workbookViewId="0">
      <selection activeCell="E26" sqref="E26"/>
    </sheetView>
  </sheetViews>
  <sheetFormatPr defaultRowHeight="15" x14ac:dyDescent="0.25"/>
  <cols>
    <col min="1" max="1" width="22.7109375" customWidth="1"/>
    <col min="2" max="2" width="21.28515625" customWidth="1"/>
    <col min="3" max="3" width="11.5703125" customWidth="1"/>
    <col min="4" max="8" width="17.42578125" style="18" customWidth="1"/>
    <col min="9" max="9" width="14.28515625" bestFit="1" customWidth="1"/>
  </cols>
  <sheetData>
    <row r="1" spans="1:9" ht="15" customHeight="1" x14ac:dyDescent="0.25">
      <c r="A1" s="59" t="s">
        <v>3</v>
      </c>
      <c r="B1" s="59"/>
      <c r="C1" s="59"/>
      <c r="D1" s="59"/>
      <c r="E1" s="59"/>
      <c r="F1" s="59"/>
      <c r="G1" s="59"/>
      <c r="H1" s="59"/>
    </row>
    <row r="2" spans="1:9" x14ac:dyDescent="0.25">
      <c r="A2" s="55" t="s">
        <v>95</v>
      </c>
      <c r="B2" s="55"/>
      <c r="C2" s="55"/>
      <c r="D2" s="55"/>
      <c r="E2" s="55"/>
      <c r="F2" s="55"/>
      <c r="G2" s="55"/>
      <c r="H2" s="55"/>
    </row>
    <row r="4" spans="1:9" x14ac:dyDescent="0.25">
      <c r="A4" s="45" t="s">
        <v>71</v>
      </c>
      <c r="E4" s="22" t="s">
        <v>96</v>
      </c>
      <c r="F4" s="22" t="s">
        <v>97</v>
      </c>
      <c r="H4" s="22" t="s">
        <v>80</v>
      </c>
    </row>
    <row r="5" spans="1:9" x14ac:dyDescent="0.25">
      <c r="B5" s="1" t="s">
        <v>72</v>
      </c>
      <c r="C5" s="1" t="s">
        <v>73</v>
      </c>
      <c r="D5" s="22" t="s">
        <v>98</v>
      </c>
      <c r="E5" s="22" t="s">
        <v>99</v>
      </c>
      <c r="F5" s="22" t="s">
        <v>51</v>
      </c>
      <c r="G5" s="22" t="s">
        <v>100</v>
      </c>
      <c r="H5" s="22" t="s">
        <v>101</v>
      </c>
    </row>
    <row r="6" spans="1:9" x14ac:dyDescent="0.25">
      <c r="A6" s="17" t="s">
        <v>77</v>
      </c>
      <c r="B6" s="17" t="s">
        <v>48</v>
      </c>
      <c r="C6" s="17" t="s">
        <v>78</v>
      </c>
      <c r="D6" s="23" t="s">
        <v>79</v>
      </c>
      <c r="E6" s="23" t="s">
        <v>48</v>
      </c>
      <c r="F6" s="23" t="s">
        <v>48</v>
      </c>
      <c r="G6" s="23" t="s">
        <v>79</v>
      </c>
      <c r="H6" s="33">
        <v>35705</v>
      </c>
    </row>
    <row r="7" spans="1:9" x14ac:dyDescent="0.25">
      <c r="A7" s="1">
        <v>2003</v>
      </c>
      <c r="B7" s="18">
        <v>20883645</v>
      </c>
      <c r="C7" s="21">
        <v>46614</v>
      </c>
      <c r="D7" s="18">
        <v>2669134</v>
      </c>
      <c r="E7" s="18">
        <v>0</v>
      </c>
      <c r="F7" s="18">
        <v>0</v>
      </c>
      <c r="G7" s="18">
        <f>D7-E7+F7</f>
        <v>2669134</v>
      </c>
      <c r="H7" s="18">
        <f>G7/H6</f>
        <v>74.755188348970734</v>
      </c>
    </row>
    <row r="8" spans="1:9" x14ac:dyDescent="0.25">
      <c r="A8" s="1" t="s">
        <v>81</v>
      </c>
      <c r="B8" s="18">
        <v>8328990</v>
      </c>
      <c r="C8" s="21">
        <v>44423</v>
      </c>
      <c r="D8" s="18">
        <v>7790418</v>
      </c>
      <c r="E8" s="18">
        <v>818524</v>
      </c>
      <c r="F8" s="18">
        <v>-6901894</v>
      </c>
      <c r="G8" s="18">
        <f t="shared" ref="G8:G16" si="0">D8-E8+F8</f>
        <v>70000</v>
      </c>
      <c r="H8" s="18">
        <f>G8/H6</f>
        <v>1.9605097325304579</v>
      </c>
    </row>
    <row r="9" spans="1:9" x14ac:dyDescent="0.25">
      <c r="A9" s="1" t="s">
        <v>82</v>
      </c>
      <c r="B9" s="18">
        <v>30574884</v>
      </c>
      <c r="C9" s="21">
        <v>44788</v>
      </c>
      <c r="D9" s="18">
        <v>28277424</v>
      </c>
      <c r="E9" s="18">
        <v>2616476</v>
      </c>
      <c r="F9" s="18">
        <v>-24558474</v>
      </c>
      <c r="G9" s="18">
        <f t="shared" si="0"/>
        <v>1102474</v>
      </c>
      <c r="H9" s="18">
        <f>G9/H6</f>
        <v>30.877300098025486</v>
      </c>
    </row>
    <row r="10" spans="1:9" x14ac:dyDescent="0.25">
      <c r="A10" s="1" t="s">
        <v>83</v>
      </c>
      <c r="B10" s="18">
        <v>40160142</v>
      </c>
      <c r="C10" s="21">
        <v>45153</v>
      </c>
      <c r="D10" s="18">
        <v>40160152</v>
      </c>
      <c r="E10" s="18">
        <v>0</v>
      </c>
      <c r="F10" s="18">
        <v>-38460152</v>
      </c>
      <c r="G10" s="18">
        <f t="shared" si="0"/>
        <v>1700000</v>
      </c>
      <c r="H10" s="18">
        <f>G10/H6</f>
        <v>47.612379218596836</v>
      </c>
      <c r="I10" t="s">
        <v>19</v>
      </c>
    </row>
    <row r="11" spans="1:9" x14ac:dyDescent="0.25">
      <c r="A11" s="1" t="s">
        <v>84</v>
      </c>
      <c r="B11" s="18">
        <v>49374874</v>
      </c>
      <c r="C11" s="21">
        <v>53189</v>
      </c>
      <c r="D11" s="18">
        <v>48501362</v>
      </c>
      <c r="E11" s="18">
        <v>0</v>
      </c>
      <c r="F11" s="18">
        <v>-47729362</v>
      </c>
      <c r="G11" s="18">
        <f t="shared" si="0"/>
        <v>772000</v>
      </c>
      <c r="H11" s="18">
        <f>G11/H6</f>
        <v>21.621621621621621</v>
      </c>
      <c r="I11" t="s">
        <v>19</v>
      </c>
    </row>
    <row r="12" spans="1:9" x14ac:dyDescent="0.25">
      <c r="A12" s="1" t="s">
        <v>85</v>
      </c>
      <c r="B12" s="18">
        <v>16155000</v>
      </c>
      <c r="C12" s="21">
        <v>50267</v>
      </c>
      <c r="D12" s="18">
        <v>13430000</v>
      </c>
      <c r="E12" s="18">
        <v>940000</v>
      </c>
      <c r="F12" s="18">
        <v>0</v>
      </c>
      <c r="G12" s="18">
        <f t="shared" si="0"/>
        <v>12490000</v>
      </c>
      <c r="H12" s="18">
        <f>G12/H6</f>
        <v>349.81095084722028</v>
      </c>
      <c r="I12" t="s">
        <v>19</v>
      </c>
    </row>
    <row r="13" spans="1:9" x14ac:dyDescent="0.25">
      <c r="A13" s="1" t="s">
        <v>86</v>
      </c>
      <c r="B13" s="18">
        <v>7268826</v>
      </c>
      <c r="C13" s="21">
        <v>53189</v>
      </c>
      <c r="D13" s="18">
        <v>7013826</v>
      </c>
      <c r="E13" s="18">
        <v>30000</v>
      </c>
      <c r="F13" s="18">
        <v>0</v>
      </c>
      <c r="G13" s="18">
        <f t="shared" si="0"/>
        <v>6983826</v>
      </c>
      <c r="H13" s="18">
        <f>G13/H6</f>
        <v>195.59798347570367</v>
      </c>
      <c r="I13" s="32" t="s">
        <v>19</v>
      </c>
    </row>
    <row r="14" spans="1:9" x14ac:dyDescent="0.25">
      <c r="A14" s="1" t="s">
        <v>87</v>
      </c>
      <c r="B14" s="18">
        <v>2115000</v>
      </c>
      <c r="C14" s="21">
        <v>48441</v>
      </c>
      <c r="D14" s="18">
        <v>1385000</v>
      </c>
      <c r="E14" s="18">
        <v>235000</v>
      </c>
      <c r="F14" s="18">
        <v>0</v>
      </c>
      <c r="G14" s="18">
        <f t="shared" si="0"/>
        <v>1150000</v>
      </c>
      <c r="H14" s="18">
        <f>G14/H6</f>
        <v>32.208374177286096</v>
      </c>
      <c r="I14" t="s">
        <v>19</v>
      </c>
    </row>
    <row r="15" spans="1:9" x14ac:dyDescent="0.25">
      <c r="A15" s="1" t="s">
        <v>88</v>
      </c>
      <c r="B15" s="18">
        <v>7661645</v>
      </c>
      <c r="C15" s="21">
        <v>49171</v>
      </c>
      <c r="D15" s="18">
        <v>0</v>
      </c>
      <c r="E15" s="18">
        <v>0</v>
      </c>
      <c r="F15" s="18">
        <v>7661645</v>
      </c>
      <c r="G15" s="18">
        <f t="shared" si="0"/>
        <v>7661645</v>
      </c>
      <c r="H15" s="18">
        <f>G15/H6</f>
        <v>214.58185128133314</v>
      </c>
    </row>
    <row r="16" spans="1:9" x14ac:dyDescent="0.25">
      <c r="A16" s="1" t="s">
        <v>102</v>
      </c>
      <c r="B16" s="18">
        <v>112649286</v>
      </c>
      <c r="C16" s="21">
        <v>53189</v>
      </c>
      <c r="D16" s="18">
        <v>0</v>
      </c>
      <c r="E16" s="18">
        <v>0</v>
      </c>
      <c r="F16" s="18">
        <v>112649287</v>
      </c>
      <c r="G16" s="18">
        <f t="shared" si="0"/>
        <v>112649287</v>
      </c>
      <c r="H16" s="18">
        <f>G16/H6</f>
        <v>3155.0003360873825</v>
      </c>
    </row>
    <row r="17" spans="1:8" ht="15.75" thickBot="1" x14ac:dyDescent="0.3">
      <c r="A17" s="1" t="s">
        <v>93</v>
      </c>
      <c r="B17" s="24">
        <f>SUM(B7:B16)</f>
        <v>295172292</v>
      </c>
      <c r="D17" s="24">
        <f>SUM(D7:D16)</f>
        <v>149227316</v>
      </c>
      <c r="E17" s="24">
        <f t="shared" ref="E17:H17" si="1">SUM(E7:E16)</f>
        <v>4640000</v>
      </c>
      <c r="F17" s="24">
        <f t="shared" ref="F17" si="2">SUM(F7:F16)</f>
        <v>2661050</v>
      </c>
      <c r="G17" s="24">
        <f>SUM(G7:G16)</f>
        <v>147248366</v>
      </c>
      <c r="H17" s="24">
        <f t="shared" si="1"/>
        <v>4124.0264948886706</v>
      </c>
    </row>
    <row r="18" spans="1:8" ht="15.75" thickTop="1" x14ac:dyDescent="0.25"/>
    <row r="19" spans="1:8" x14ac:dyDescent="0.25">
      <c r="A19" s="45" t="s">
        <v>90</v>
      </c>
      <c r="E19" s="22" t="s">
        <v>96</v>
      </c>
      <c r="F19" s="22" t="s">
        <v>97</v>
      </c>
      <c r="H19" s="22" t="s">
        <v>80</v>
      </c>
    </row>
    <row r="20" spans="1:8" x14ac:dyDescent="0.25">
      <c r="B20" s="1" t="s">
        <v>72</v>
      </c>
      <c r="C20" s="1" t="s">
        <v>73</v>
      </c>
      <c r="D20" s="22" t="s">
        <v>98</v>
      </c>
      <c r="E20" s="22" t="s">
        <v>99</v>
      </c>
      <c r="F20" s="22" t="s">
        <v>51</v>
      </c>
      <c r="G20" s="22" t="s">
        <v>100</v>
      </c>
      <c r="H20" s="22" t="s">
        <v>101</v>
      </c>
    </row>
    <row r="21" spans="1:8" x14ac:dyDescent="0.25">
      <c r="A21" s="17" t="s">
        <v>19</v>
      </c>
      <c r="B21" s="17" t="s">
        <v>48</v>
      </c>
      <c r="C21" s="17" t="s">
        <v>78</v>
      </c>
      <c r="D21" s="23" t="s">
        <v>79</v>
      </c>
      <c r="E21" s="23" t="s">
        <v>48</v>
      </c>
      <c r="F21" s="23" t="s">
        <v>48</v>
      </c>
      <c r="G21" s="23" t="s">
        <v>79</v>
      </c>
      <c r="H21" s="33">
        <f>H6</f>
        <v>35705</v>
      </c>
    </row>
    <row r="22" spans="1:8" x14ac:dyDescent="0.25">
      <c r="A22" s="1">
        <v>2013</v>
      </c>
      <c r="B22" s="18">
        <v>4610000</v>
      </c>
      <c r="C22" s="21">
        <v>46996</v>
      </c>
      <c r="D22" s="18">
        <v>2630000</v>
      </c>
      <c r="E22" s="18">
        <v>315000</v>
      </c>
      <c r="F22" s="18">
        <v>0</v>
      </c>
      <c r="G22" s="18">
        <f t="shared" ref="G22:G24" si="3">D22-E22+F22</f>
        <v>2315000</v>
      </c>
      <c r="H22" s="18">
        <f>G22/H21</f>
        <v>64.836857582971575</v>
      </c>
    </row>
    <row r="23" spans="1:8" x14ac:dyDescent="0.25">
      <c r="A23" s="1">
        <v>2015</v>
      </c>
      <c r="B23" s="18">
        <v>1400000</v>
      </c>
      <c r="C23" s="21">
        <v>45900</v>
      </c>
      <c r="D23" s="18">
        <v>875000</v>
      </c>
      <c r="E23" s="18">
        <v>135000</v>
      </c>
      <c r="F23" s="18">
        <v>0</v>
      </c>
      <c r="G23" s="18">
        <f t="shared" si="3"/>
        <v>740000</v>
      </c>
      <c r="H23" s="18">
        <f>G23/H21</f>
        <v>20.725388601036268</v>
      </c>
    </row>
    <row r="24" spans="1:8" x14ac:dyDescent="0.25">
      <c r="A24" s="1">
        <v>2017</v>
      </c>
      <c r="B24" s="18">
        <v>825000</v>
      </c>
      <c r="C24" s="21">
        <v>46630</v>
      </c>
      <c r="D24" s="18">
        <v>675000</v>
      </c>
      <c r="E24" s="18">
        <v>75000</v>
      </c>
      <c r="F24" s="18">
        <v>0</v>
      </c>
      <c r="G24" s="18">
        <f t="shared" si="3"/>
        <v>600000</v>
      </c>
      <c r="H24" s="18">
        <f>G24/H21</f>
        <v>16.804369135975353</v>
      </c>
    </row>
    <row r="25" spans="1:8" ht="15.75" thickBot="1" x14ac:dyDescent="0.3">
      <c r="A25" s="1" t="s">
        <v>93</v>
      </c>
      <c r="B25" s="24">
        <f>SUM(B22:B24)</f>
        <v>6835000</v>
      </c>
      <c r="D25" s="24">
        <f t="shared" ref="D25:G25" si="4">SUM(D22:D24)</f>
        <v>4180000</v>
      </c>
      <c r="E25" s="24">
        <f t="shared" si="4"/>
        <v>525000</v>
      </c>
      <c r="F25" s="24">
        <f t="shared" ref="F25" si="5">SUM(F22:F24)</f>
        <v>0</v>
      </c>
      <c r="G25" s="24">
        <f t="shared" si="4"/>
        <v>3655000</v>
      </c>
      <c r="H25" s="24">
        <f>SUM(H22:H24)</f>
        <v>102.3666153199832</v>
      </c>
    </row>
    <row r="26" spans="1:8" ht="15.75" thickTop="1" x14ac:dyDescent="0.25"/>
    <row r="27" spans="1:8" x14ac:dyDescent="0.25">
      <c r="A27" s="45" t="s">
        <v>92</v>
      </c>
      <c r="E27" s="22" t="s">
        <v>96</v>
      </c>
      <c r="F27" s="22" t="s">
        <v>97</v>
      </c>
      <c r="H27" s="22" t="s">
        <v>80</v>
      </c>
    </row>
    <row r="28" spans="1:8" x14ac:dyDescent="0.25">
      <c r="B28" s="1" t="s">
        <v>72</v>
      </c>
      <c r="C28" s="1" t="s">
        <v>73</v>
      </c>
      <c r="D28" s="22" t="s">
        <v>98</v>
      </c>
      <c r="E28" s="22" t="s">
        <v>99</v>
      </c>
      <c r="F28" s="22" t="s">
        <v>51</v>
      </c>
      <c r="G28" s="22" t="s">
        <v>100</v>
      </c>
      <c r="H28" s="22" t="s">
        <v>101</v>
      </c>
    </row>
    <row r="29" spans="1:8" x14ac:dyDescent="0.25">
      <c r="A29" s="17"/>
      <c r="B29" s="17" t="s">
        <v>48</v>
      </c>
      <c r="C29" s="17" t="s">
        <v>78</v>
      </c>
      <c r="D29" s="23" t="s">
        <v>79</v>
      </c>
      <c r="E29" s="23" t="s">
        <v>48</v>
      </c>
      <c r="F29" s="23" t="s">
        <v>48</v>
      </c>
      <c r="G29" s="23" t="s">
        <v>79</v>
      </c>
      <c r="H29" s="33">
        <f>H6</f>
        <v>35705</v>
      </c>
    </row>
    <row r="30" spans="1:8" x14ac:dyDescent="0.25">
      <c r="A30" s="1">
        <v>2019</v>
      </c>
      <c r="B30" s="35">
        <v>758034</v>
      </c>
      <c r="C30" s="21">
        <v>46249</v>
      </c>
      <c r="D30" s="18">
        <v>758034</v>
      </c>
      <c r="E30" s="18">
        <v>100783</v>
      </c>
      <c r="F30" s="18">
        <v>0</v>
      </c>
      <c r="G30" s="18">
        <f t="shared" ref="G30" si="6">D30-E30+F30</f>
        <v>657251</v>
      </c>
      <c r="H30" s="18">
        <f>G30/H29</f>
        <v>18.407814031648229</v>
      </c>
    </row>
    <row r="31" spans="1:8" ht="15.75" thickBot="1" x14ac:dyDescent="0.3">
      <c r="A31" s="1" t="s">
        <v>93</v>
      </c>
      <c r="B31" s="24">
        <f>SUM(B30:B30)</f>
        <v>758034</v>
      </c>
      <c r="D31" s="24">
        <f>SUM(D30:D30)</f>
        <v>758034</v>
      </c>
      <c r="E31" s="24">
        <f>SUM(E30:E30)</f>
        <v>100783</v>
      </c>
      <c r="F31" s="24">
        <f>SUM(F30:F30)</f>
        <v>0</v>
      </c>
      <c r="G31" s="24">
        <f>SUM(G30:G30)</f>
        <v>657251</v>
      </c>
      <c r="H31" s="34">
        <f>SUM(H30:H30)</f>
        <v>18.407814031648229</v>
      </c>
    </row>
    <row r="32" spans="1:8" ht="15.75" thickTop="1" x14ac:dyDescent="0.25">
      <c r="D32" s="18" t="s">
        <v>19</v>
      </c>
      <c r="G32" s="18" t="s">
        <v>19</v>
      </c>
    </row>
    <row r="33" spans="1:8" ht="15.75" thickBot="1" x14ac:dyDescent="0.3">
      <c r="A33" s="27" t="s">
        <v>94</v>
      </c>
      <c r="B33" s="28">
        <f>B17+B25+B31</f>
        <v>302765326</v>
      </c>
      <c r="C33" s="27"/>
      <c r="D33" s="28">
        <f>D17+D25+D31</f>
        <v>154165350</v>
      </c>
      <c r="E33" s="28">
        <f>E17+E25+E31</f>
        <v>5265783</v>
      </c>
      <c r="F33" s="28">
        <f>F17+F25+F31</f>
        <v>2661050</v>
      </c>
      <c r="G33" s="28">
        <f>G17+G25+G31</f>
        <v>151560617</v>
      </c>
      <c r="H33" s="28">
        <f>H17+H25+H31</f>
        <v>4244.8009242403014</v>
      </c>
    </row>
    <row r="35" spans="1:8" x14ac:dyDescent="0.25">
      <c r="A35" t="s">
        <v>103</v>
      </c>
    </row>
    <row r="36" spans="1:8" x14ac:dyDescent="0.25">
      <c r="A36" t="s">
        <v>104</v>
      </c>
    </row>
    <row r="37" spans="1:8" x14ac:dyDescent="0.25">
      <c r="A37" t="s">
        <v>105</v>
      </c>
    </row>
    <row r="38" spans="1:8" x14ac:dyDescent="0.25">
      <c r="A38" s="3"/>
    </row>
    <row r="39" spans="1:8" x14ac:dyDescent="0.25">
      <c r="A39" t="s">
        <v>106</v>
      </c>
    </row>
  </sheetData>
  <mergeCells count="2">
    <mergeCell ref="A1:H1"/>
    <mergeCell ref="A2:H2"/>
  </mergeCells>
  <printOptions horizontalCentered="1"/>
  <pageMargins left="0.7" right="0.7" top="0.75" bottom="0.75" header="0.3" footer="0.3"/>
  <pageSetup scale="85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workbookViewId="0">
      <selection activeCell="A27" sqref="A27"/>
    </sheetView>
  </sheetViews>
  <sheetFormatPr defaultRowHeight="15" x14ac:dyDescent="0.25"/>
  <cols>
    <col min="1" max="1" width="18.85546875" customWidth="1"/>
    <col min="2" max="2" width="21.28515625" customWidth="1"/>
    <col min="3" max="3" width="11.5703125" customWidth="1"/>
    <col min="4" max="8" width="17.42578125" style="18" customWidth="1"/>
  </cols>
  <sheetData>
    <row r="1" spans="1:8" ht="15" customHeight="1" x14ac:dyDescent="0.25">
      <c r="A1" s="59" t="s">
        <v>3</v>
      </c>
      <c r="B1" s="59"/>
      <c r="C1" s="59"/>
      <c r="D1" s="59"/>
      <c r="E1" s="59"/>
      <c r="F1" s="59"/>
      <c r="G1" s="59"/>
      <c r="H1" s="59"/>
    </row>
    <row r="2" spans="1:8" x14ac:dyDescent="0.25">
      <c r="A2" s="55" t="s">
        <v>107</v>
      </c>
      <c r="B2" s="55"/>
      <c r="C2" s="55"/>
      <c r="D2" s="55"/>
      <c r="E2" s="55"/>
      <c r="F2" s="55"/>
      <c r="G2" s="55"/>
      <c r="H2" s="55"/>
    </row>
    <row r="4" spans="1:8" x14ac:dyDescent="0.25">
      <c r="A4" s="27" t="s">
        <v>71</v>
      </c>
      <c r="E4" s="22" t="s">
        <v>96</v>
      </c>
      <c r="F4" s="22" t="s">
        <v>97</v>
      </c>
      <c r="H4" s="22" t="s">
        <v>80</v>
      </c>
    </row>
    <row r="5" spans="1:8" x14ac:dyDescent="0.25">
      <c r="B5" s="1" t="s">
        <v>72</v>
      </c>
      <c r="C5" s="1" t="s">
        <v>73</v>
      </c>
      <c r="D5" s="22" t="s">
        <v>98</v>
      </c>
      <c r="E5" s="22" t="s">
        <v>99</v>
      </c>
      <c r="F5" s="22" t="s">
        <v>51</v>
      </c>
      <c r="G5" s="22" t="s">
        <v>100</v>
      </c>
      <c r="H5" s="22" t="s">
        <v>108</v>
      </c>
    </row>
    <row r="6" spans="1:8" x14ac:dyDescent="0.25">
      <c r="A6" s="17" t="s">
        <v>77</v>
      </c>
      <c r="B6" s="17" t="s">
        <v>48</v>
      </c>
      <c r="C6" s="17" t="s">
        <v>78</v>
      </c>
      <c r="D6" s="23" t="s">
        <v>79</v>
      </c>
      <c r="E6" s="23" t="s">
        <v>48</v>
      </c>
      <c r="F6" s="23" t="s">
        <v>48</v>
      </c>
      <c r="G6" s="23" t="s">
        <v>79</v>
      </c>
      <c r="H6" s="33">
        <v>6701</v>
      </c>
    </row>
    <row r="7" spans="1:8" x14ac:dyDescent="0.25">
      <c r="A7" s="1">
        <v>2003</v>
      </c>
      <c r="B7" s="18">
        <v>20883645</v>
      </c>
      <c r="C7" s="21">
        <v>46614</v>
      </c>
      <c r="D7" s="18">
        <v>2669134</v>
      </c>
      <c r="E7" s="18">
        <v>0</v>
      </c>
      <c r="F7" s="18">
        <v>0</v>
      </c>
      <c r="G7" s="18">
        <f>D7-E7+F7</f>
        <v>2669134</v>
      </c>
      <c r="H7" s="18">
        <f>G7/H6</f>
        <v>398.31875839426954</v>
      </c>
    </row>
    <row r="8" spans="1:8" x14ac:dyDescent="0.25">
      <c r="A8" s="1" t="s">
        <v>81</v>
      </c>
      <c r="B8" s="18">
        <v>8328990</v>
      </c>
      <c r="C8" s="21">
        <v>49171</v>
      </c>
      <c r="D8" s="18">
        <v>7790418</v>
      </c>
      <c r="E8" s="18">
        <v>818524.25</v>
      </c>
      <c r="F8" s="18">
        <f>-6971894+70000</f>
        <v>-6901894</v>
      </c>
      <c r="G8" s="18">
        <f t="shared" ref="G8:G16" si="0">D8-E8+F8</f>
        <v>69999.75</v>
      </c>
      <c r="H8" s="18">
        <f>G8/H6</f>
        <v>10.446164751529622</v>
      </c>
    </row>
    <row r="9" spans="1:8" x14ac:dyDescent="0.25">
      <c r="A9" s="1" t="s">
        <v>82</v>
      </c>
      <c r="B9" s="18">
        <v>30574884</v>
      </c>
      <c r="C9" s="21">
        <v>48806</v>
      </c>
      <c r="D9" s="18">
        <v>28277424</v>
      </c>
      <c r="E9" s="18">
        <v>2616476</v>
      </c>
      <c r="F9" s="18">
        <f>-25660948+1102474</f>
        <v>-24558474</v>
      </c>
      <c r="G9" s="18">
        <f t="shared" si="0"/>
        <v>1102474</v>
      </c>
      <c r="H9" s="18">
        <f>G9/H6</f>
        <v>164.52380241754963</v>
      </c>
    </row>
    <row r="10" spans="1:8" x14ac:dyDescent="0.25">
      <c r="A10" s="1" t="s">
        <v>83</v>
      </c>
      <c r="B10" s="18">
        <v>40160142</v>
      </c>
      <c r="C10" s="21">
        <v>53189</v>
      </c>
      <c r="D10" s="18">
        <v>40160152</v>
      </c>
      <c r="E10" s="18">
        <v>0</v>
      </c>
      <c r="F10" s="18">
        <f>-40160152+1700000</f>
        <v>-38460152</v>
      </c>
      <c r="G10" s="18">
        <f t="shared" si="0"/>
        <v>1700000</v>
      </c>
      <c r="H10" s="18">
        <f>G10/H6</f>
        <v>253.69347858528579</v>
      </c>
    </row>
    <row r="11" spans="1:8" x14ac:dyDescent="0.25">
      <c r="A11" s="1" t="s">
        <v>84</v>
      </c>
      <c r="B11" s="18">
        <v>49374874</v>
      </c>
      <c r="C11" s="21">
        <v>53189</v>
      </c>
      <c r="D11" s="18">
        <v>48501362</v>
      </c>
      <c r="E11" s="18">
        <v>0</v>
      </c>
      <c r="F11" s="18">
        <f>-48501362+772000</f>
        <v>-47729362</v>
      </c>
      <c r="G11" s="18">
        <f t="shared" si="0"/>
        <v>772000</v>
      </c>
      <c r="H11" s="18">
        <f>G11/H6</f>
        <v>115.20668556931801</v>
      </c>
    </row>
    <row r="12" spans="1:8" x14ac:dyDescent="0.25">
      <c r="A12" s="1" t="s">
        <v>85</v>
      </c>
      <c r="B12" s="18">
        <v>16155000</v>
      </c>
      <c r="C12" s="21">
        <v>50267</v>
      </c>
      <c r="D12" s="18">
        <v>13430000</v>
      </c>
      <c r="E12" s="18">
        <v>940000</v>
      </c>
      <c r="F12" s="18">
        <v>0</v>
      </c>
      <c r="G12" s="18">
        <f t="shared" si="0"/>
        <v>12490000</v>
      </c>
      <c r="H12" s="18">
        <f>G12/H6</f>
        <v>1863.9009103118938</v>
      </c>
    </row>
    <row r="13" spans="1:8" x14ac:dyDescent="0.25">
      <c r="A13" s="1" t="s">
        <v>86</v>
      </c>
      <c r="B13" s="18">
        <v>7268826</v>
      </c>
      <c r="C13" s="21">
        <v>53189</v>
      </c>
      <c r="D13" s="18">
        <v>7013826</v>
      </c>
      <c r="E13" s="18">
        <v>30000</v>
      </c>
      <c r="F13" s="18">
        <v>0</v>
      </c>
      <c r="G13" s="18">
        <f t="shared" si="0"/>
        <v>6983826</v>
      </c>
      <c r="H13" s="18">
        <f>G13/H6</f>
        <v>1042.2065363378599</v>
      </c>
    </row>
    <row r="14" spans="1:8" x14ac:dyDescent="0.25">
      <c r="A14" s="1" t="s">
        <v>87</v>
      </c>
      <c r="B14" s="18">
        <v>2115000</v>
      </c>
      <c r="C14" s="21">
        <v>48441</v>
      </c>
      <c r="D14" s="18">
        <v>1385000</v>
      </c>
      <c r="E14" s="18">
        <v>235000</v>
      </c>
      <c r="F14" s="18">
        <v>0</v>
      </c>
      <c r="G14" s="18">
        <f t="shared" si="0"/>
        <v>1150000</v>
      </c>
      <c r="H14" s="18">
        <f>G14/H6</f>
        <v>171.61617669004627</v>
      </c>
    </row>
    <row r="15" spans="1:8" x14ac:dyDescent="0.25">
      <c r="A15" s="1" t="s">
        <v>88</v>
      </c>
      <c r="B15" s="18">
        <v>7661645</v>
      </c>
      <c r="C15" s="21">
        <v>49171</v>
      </c>
      <c r="D15" s="18">
        <v>0</v>
      </c>
      <c r="E15" s="18">
        <v>0</v>
      </c>
      <c r="F15" s="18">
        <v>7661645</v>
      </c>
      <c r="G15" s="18">
        <f t="shared" si="0"/>
        <v>7661645</v>
      </c>
      <c r="H15" s="18">
        <f>G15/H6</f>
        <v>1143.3584539620952</v>
      </c>
    </row>
    <row r="16" spans="1:8" x14ac:dyDescent="0.25">
      <c r="A16" s="1" t="s">
        <v>102</v>
      </c>
      <c r="B16" s="18">
        <v>112649286</v>
      </c>
      <c r="C16" s="21">
        <v>53189</v>
      </c>
      <c r="D16" s="18">
        <v>0</v>
      </c>
      <c r="E16" s="18">
        <v>0</v>
      </c>
      <c r="F16" s="18">
        <v>112649287</v>
      </c>
      <c r="G16" s="18">
        <f t="shared" si="0"/>
        <v>112649287</v>
      </c>
      <c r="H16" s="18">
        <f>G16/H6</f>
        <v>16810.817340695419</v>
      </c>
    </row>
    <row r="17" spans="1:8" ht="15.75" thickBot="1" x14ac:dyDescent="0.3">
      <c r="A17" s="1" t="s">
        <v>93</v>
      </c>
      <c r="B17" s="24">
        <f>SUM(B7:B16)</f>
        <v>295172292</v>
      </c>
      <c r="D17" s="24">
        <f>SUM(D7:D16)</f>
        <v>149227316</v>
      </c>
      <c r="E17" s="24">
        <f t="shared" ref="E17:H17" si="1">SUM(E7:E16)</f>
        <v>4640000.25</v>
      </c>
      <c r="F17" s="24">
        <f t="shared" si="1"/>
        <v>2661050</v>
      </c>
      <c r="G17" s="24">
        <f t="shared" si="1"/>
        <v>147248365.75</v>
      </c>
      <c r="H17" s="24">
        <f t="shared" si="1"/>
        <v>21974.088307715268</v>
      </c>
    </row>
    <row r="18" spans="1:8" ht="15.75" thickTop="1" x14ac:dyDescent="0.25"/>
    <row r="19" spans="1:8" x14ac:dyDescent="0.25">
      <c r="A19" s="27" t="s">
        <v>90</v>
      </c>
      <c r="E19" s="22" t="s">
        <v>96</v>
      </c>
      <c r="F19" s="22" t="s">
        <v>97</v>
      </c>
      <c r="H19" s="22" t="s">
        <v>80</v>
      </c>
    </row>
    <row r="20" spans="1:8" x14ac:dyDescent="0.25">
      <c r="B20" s="1" t="s">
        <v>72</v>
      </c>
      <c r="C20" s="1" t="s">
        <v>73</v>
      </c>
      <c r="D20" s="22" t="s">
        <v>98</v>
      </c>
      <c r="E20" s="22" t="s">
        <v>99</v>
      </c>
      <c r="F20" s="22" t="s">
        <v>51</v>
      </c>
      <c r="G20" s="22" t="s">
        <v>100</v>
      </c>
      <c r="H20" s="22" t="s">
        <v>108</v>
      </c>
    </row>
    <row r="21" spans="1:8" x14ac:dyDescent="0.25">
      <c r="A21" s="17"/>
      <c r="B21" s="17" t="s">
        <v>48</v>
      </c>
      <c r="C21" s="17" t="s">
        <v>78</v>
      </c>
      <c r="D21" s="23" t="s">
        <v>79</v>
      </c>
      <c r="E21" s="23" t="s">
        <v>48</v>
      </c>
      <c r="F21" s="23" t="s">
        <v>48</v>
      </c>
      <c r="G21" s="23" t="s">
        <v>79</v>
      </c>
      <c r="H21" s="33">
        <f>H6</f>
        <v>6701</v>
      </c>
    </row>
    <row r="22" spans="1:8" x14ac:dyDescent="0.25">
      <c r="A22" s="1">
        <v>2013</v>
      </c>
      <c r="B22" s="35">
        <v>4610000</v>
      </c>
      <c r="C22" s="21">
        <v>46996</v>
      </c>
      <c r="D22" s="18">
        <v>2630000</v>
      </c>
      <c r="E22" s="18">
        <v>315000</v>
      </c>
      <c r="F22" s="18">
        <v>0</v>
      </c>
      <c r="G22" s="18">
        <f>D22-E22</f>
        <v>2315000</v>
      </c>
      <c r="H22" s="18">
        <f>G22/H21</f>
        <v>345.47082524996267</v>
      </c>
    </row>
    <row r="23" spans="1:8" x14ac:dyDescent="0.25">
      <c r="A23" s="1">
        <v>2015</v>
      </c>
      <c r="B23" s="35">
        <v>1400000</v>
      </c>
      <c r="C23" s="21">
        <v>45900</v>
      </c>
      <c r="D23" s="18">
        <v>875000</v>
      </c>
      <c r="E23" s="18">
        <v>135000</v>
      </c>
      <c r="F23" s="18">
        <v>0</v>
      </c>
      <c r="G23" s="18">
        <f>D23-E23</f>
        <v>740000</v>
      </c>
      <c r="H23" s="18">
        <f>G23/H21</f>
        <v>110.43127891359498</v>
      </c>
    </row>
    <row r="24" spans="1:8" x14ac:dyDescent="0.25">
      <c r="A24" s="1">
        <v>2017</v>
      </c>
      <c r="B24" s="35">
        <v>825000</v>
      </c>
      <c r="C24" s="21">
        <v>46630</v>
      </c>
      <c r="D24" s="18">
        <v>675000</v>
      </c>
      <c r="E24" s="18">
        <v>75000</v>
      </c>
      <c r="F24" s="18">
        <v>0</v>
      </c>
      <c r="G24" s="18">
        <f>D24-E24</f>
        <v>600000</v>
      </c>
      <c r="H24" s="18">
        <f>G24/H21</f>
        <v>89.538874794806745</v>
      </c>
    </row>
    <row r="25" spans="1:8" ht="15.75" thickBot="1" x14ac:dyDescent="0.3">
      <c r="A25" s="1" t="s">
        <v>93</v>
      </c>
      <c r="B25" s="24">
        <f>SUM(B22:B24)</f>
        <v>6835000</v>
      </c>
      <c r="D25" s="24">
        <f>SUM(D22:D24)</f>
        <v>4180000</v>
      </c>
      <c r="E25" s="24">
        <f t="shared" ref="E25:G25" si="2">SUM(E22:E24)</f>
        <v>525000</v>
      </c>
      <c r="F25" s="24">
        <f t="shared" si="2"/>
        <v>0</v>
      </c>
      <c r="G25" s="24">
        <f t="shared" si="2"/>
        <v>3655000</v>
      </c>
      <c r="H25" s="34">
        <f>SUM(H22:H24)</f>
        <v>545.44097895836433</v>
      </c>
    </row>
    <row r="26" spans="1:8" ht="15.75" thickTop="1" x14ac:dyDescent="0.25"/>
    <row r="27" spans="1:8" x14ac:dyDescent="0.25">
      <c r="A27" s="27" t="s">
        <v>92</v>
      </c>
      <c r="E27" s="22" t="s">
        <v>96</v>
      </c>
      <c r="F27" s="22" t="s">
        <v>97</v>
      </c>
      <c r="H27" s="22" t="s">
        <v>80</v>
      </c>
    </row>
    <row r="28" spans="1:8" x14ac:dyDescent="0.25">
      <c r="B28" s="1" t="s">
        <v>72</v>
      </c>
      <c r="C28" s="1" t="s">
        <v>73</v>
      </c>
      <c r="D28" s="22" t="s">
        <v>98</v>
      </c>
      <c r="E28" s="22" t="s">
        <v>99</v>
      </c>
      <c r="F28" s="22" t="s">
        <v>51</v>
      </c>
      <c r="G28" s="22" t="s">
        <v>100</v>
      </c>
      <c r="H28" s="22" t="s">
        <v>108</v>
      </c>
    </row>
    <row r="29" spans="1:8" x14ac:dyDescent="0.25">
      <c r="A29" s="17"/>
      <c r="B29" s="17" t="s">
        <v>48</v>
      </c>
      <c r="C29" s="17" t="s">
        <v>78</v>
      </c>
      <c r="D29" s="23" t="s">
        <v>79</v>
      </c>
      <c r="E29" s="23" t="s">
        <v>48</v>
      </c>
      <c r="F29" s="23" t="s">
        <v>48</v>
      </c>
      <c r="G29" s="23" t="s">
        <v>79</v>
      </c>
      <c r="H29" s="33">
        <f>H6</f>
        <v>6701</v>
      </c>
    </row>
    <row r="30" spans="1:8" x14ac:dyDescent="0.25">
      <c r="A30" s="1">
        <v>2019</v>
      </c>
      <c r="B30" s="35">
        <v>758034</v>
      </c>
      <c r="C30" s="21">
        <v>46249</v>
      </c>
      <c r="D30" s="18">
        <v>758034</v>
      </c>
      <c r="E30" s="18">
        <v>100783</v>
      </c>
      <c r="G30" s="18">
        <f>D30-E30</f>
        <v>657251</v>
      </c>
      <c r="H30" s="18">
        <f>G30/H29</f>
        <v>98.082524996269214</v>
      </c>
    </row>
    <row r="31" spans="1:8" ht="15.75" thickBot="1" x14ac:dyDescent="0.3">
      <c r="A31" s="1" t="s">
        <v>93</v>
      </c>
      <c r="B31" s="24">
        <f>SUM(B30:B30)</f>
        <v>758034</v>
      </c>
      <c r="D31" s="24">
        <f>SUM(D30:D30)</f>
        <v>758034</v>
      </c>
      <c r="E31" s="24">
        <f>SUM(E30:E30)</f>
        <v>100783</v>
      </c>
      <c r="F31" s="24"/>
      <c r="G31" s="24">
        <f>SUM(G30:G30)</f>
        <v>657251</v>
      </c>
      <c r="H31" s="34">
        <f>SUM(H30:H30)</f>
        <v>98.082524996269214</v>
      </c>
    </row>
    <row r="32" spans="1:8" ht="15.75" thickTop="1" x14ac:dyDescent="0.25"/>
    <row r="33" spans="1:8" ht="15.75" thickBot="1" x14ac:dyDescent="0.3">
      <c r="A33" s="27" t="s">
        <v>94</v>
      </c>
      <c r="B33" s="28">
        <f>B17+B25+B31</f>
        <v>302765326</v>
      </c>
      <c r="C33" s="27"/>
      <c r="D33" s="28">
        <f>D17+D25+D31</f>
        <v>154165350</v>
      </c>
      <c r="E33" s="28">
        <f>E17+E25+E31</f>
        <v>5265783.25</v>
      </c>
      <c r="F33" s="28"/>
      <c r="G33" s="28">
        <f>G17+G25+G31</f>
        <v>151560616.75</v>
      </c>
      <c r="H33" s="28">
        <f>H17+H25+H31</f>
        <v>22617.611811669904</v>
      </c>
    </row>
    <row r="35" spans="1:8" x14ac:dyDescent="0.25">
      <c r="A35" t="s">
        <v>103</v>
      </c>
      <c r="G35" s="18" t="s">
        <v>19</v>
      </c>
      <c r="H35" s="18" t="s">
        <v>19</v>
      </c>
    </row>
    <row r="36" spans="1:8" x14ac:dyDescent="0.25">
      <c r="A36" t="s">
        <v>104</v>
      </c>
    </row>
    <row r="37" spans="1:8" x14ac:dyDescent="0.25">
      <c r="A37" t="s">
        <v>105</v>
      </c>
      <c r="G37" s="18" t="s">
        <v>19</v>
      </c>
    </row>
  </sheetData>
  <mergeCells count="2">
    <mergeCell ref="A1:H1"/>
    <mergeCell ref="A2:H2"/>
  </mergeCells>
  <printOptions horizontalCentered="1"/>
  <pageMargins left="0.7" right="0.7" top="0.75" bottom="0.75" header="0.3" footer="0.3"/>
  <pageSetup scale="88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5"/>
  <sheetViews>
    <sheetView topLeftCell="A4" workbookViewId="0">
      <selection activeCell="C7" sqref="C7"/>
    </sheetView>
  </sheetViews>
  <sheetFormatPr defaultRowHeight="15" x14ac:dyDescent="0.25"/>
  <cols>
    <col min="1" max="4" width="16.28515625" customWidth="1"/>
  </cols>
  <sheetData>
    <row r="1" spans="1:4" x14ac:dyDescent="0.25">
      <c r="A1" s="59" t="s">
        <v>3</v>
      </c>
      <c r="B1" s="59"/>
      <c r="C1" s="59"/>
      <c r="D1" s="59"/>
    </row>
    <row r="2" spans="1:4" x14ac:dyDescent="0.25">
      <c r="A2" s="55" t="s">
        <v>109</v>
      </c>
      <c r="B2" s="55"/>
      <c r="C2" s="55"/>
      <c r="D2" s="55"/>
    </row>
    <row r="4" spans="1:4" x14ac:dyDescent="0.25">
      <c r="A4" s="1" t="s">
        <v>110</v>
      </c>
      <c r="B4" s="1"/>
      <c r="C4" s="1"/>
      <c r="D4" s="1"/>
    </row>
    <row r="5" spans="1:4" x14ac:dyDescent="0.25">
      <c r="A5" s="17" t="s">
        <v>111</v>
      </c>
      <c r="B5" s="17" t="s">
        <v>112</v>
      </c>
      <c r="C5" s="17" t="s">
        <v>75</v>
      </c>
      <c r="D5" s="17" t="s">
        <v>76</v>
      </c>
    </row>
    <row r="6" spans="1:4" x14ac:dyDescent="0.25">
      <c r="A6" s="44">
        <v>2021</v>
      </c>
      <c r="B6" s="18">
        <v>4789025</v>
      </c>
      <c r="C6" s="18">
        <f>5333028.53+2009704.91-1</f>
        <v>7342732.4400000004</v>
      </c>
      <c r="D6" s="18">
        <f>C6+B6</f>
        <v>12131757.440000001</v>
      </c>
    </row>
    <row r="7" spans="1:4" x14ac:dyDescent="0.25">
      <c r="A7" s="44">
        <v>2022</v>
      </c>
      <c r="B7" s="18">
        <v>2659397.6</v>
      </c>
      <c r="C7" s="18">
        <f>5070307.31+1993369.76</f>
        <v>7063677.0699999994</v>
      </c>
      <c r="D7" s="18">
        <f t="shared" ref="D7:D30" si="0">C7+B7</f>
        <v>9723074.6699999999</v>
      </c>
    </row>
    <row r="8" spans="1:4" x14ac:dyDescent="0.25">
      <c r="A8" s="44">
        <v>2023</v>
      </c>
      <c r="B8" s="18">
        <v>2757458</v>
      </c>
      <c r="C8" s="18">
        <f>5345911.76+1970319.76</f>
        <v>7316231.5199999996</v>
      </c>
      <c r="D8" s="18">
        <f t="shared" si="0"/>
        <v>10073689.52</v>
      </c>
    </row>
    <row r="9" spans="1:4" x14ac:dyDescent="0.25">
      <c r="A9" s="44">
        <v>2024</v>
      </c>
      <c r="B9" s="18">
        <v>2107721.0499999998</v>
      </c>
      <c r="C9" s="18">
        <f>6322598.71+1954494.76</f>
        <v>8277093.4699999997</v>
      </c>
      <c r="D9" s="18">
        <f t="shared" si="0"/>
        <v>10384814.52</v>
      </c>
    </row>
    <row r="10" spans="1:4" x14ac:dyDescent="0.25">
      <c r="A10" s="44">
        <v>2025</v>
      </c>
      <c r="B10" s="18">
        <v>1252921.3500000001</v>
      </c>
      <c r="C10" s="18">
        <f>7261573.41+1953519.76</f>
        <v>9215093.1699999999</v>
      </c>
      <c r="D10" s="18">
        <f t="shared" si="0"/>
        <v>10468014.52</v>
      </c>
    </row>
    <row r="11" spans="1:4" x14ac:dyDescent="0.25">
      <c r="A11" s="44">
        <v>2026</v>
      </c>
      <c r="B11" s="18">
        <f>2016694.3</f>
        <v>2016694.3</v>
      </c>
      <c r="C11" s="18">
        <f>6921825.46+1932607.26</f>
        <v>8854432.7200000007</v>
      </c>
      <c r="D11" s="18">
        <f t="shared" si="0"/>
        <v>10871127.020000001</v>
      </c>
    </row>
    <row r="12" spans="1:4" x14ac:dyDescent="0.25">
      <c r="A12" s="44">
        <v>2027</v>
      </c>
      <c r="B12" s="18">
        <v>1982096.15</v>
      </c>
      <c r="C12" s="18">
        <f>7185511.11+1905032.26</f>
        <v>9090543.370000001</v>
      </c>
      <c r="D12" s="18">
        <f t="shared" si="0"/>
        <v>11072639.520000001</v>
      </c>
    </row>
    <row r="13" spans="1:4" x14ac:dyDescent="0.25">
      <c r="A13" s="44">
        <v>2028</v>
      </c>
      <c r="B13" s="18">
        <v>1480159.55</v>
      </c>
      <c r="C13" s="18">
        <f>7864872.71+1875282.26</f>
        <v>9740154.9700000007</v>
      </c>
      <c r="D13" s="18">
        <f t="shared" si="0"/>
        <v>11220314.520000001</v>
      </c>
    </row>
    <row r="14" spans="1:4" x14ac:dyDescent="0.25">
      <c r="A14" s="44">
        <v>2029</v>
      </c>
      <c r="B14" s="18">
        <v>1459840</v>
      </c>
      <c r="C14" s="18">
        <f>8050442.26+1844597.88</f>
        <v>9895040.1400000006</v>
      </c>
      <c r="D14" s="18">
        <f t="shared" si="0"/>
        <v>11354880.140000001</v>
      </c>
    </row>
    <row r="15" spans="1:4" x14ac:dyDescent="0.25">
      <c r="A15" s="44">
        <v>2030</v>
      </c>
      <c r="B15" s="18">
        <v>1466557.2</v>
      </c>
      <c r="C15" s="18">
        <f>8253040.68+1812479.13</f>
        <v>10065519.809999999</v>
      </c>
      <c r="D15" s="18">
        <f t="shared" si="0"/>
        <v>11532077.009999998</v>
      </c>
    </row>
    <row r="16" spans="1:4" x14ac:dyDescent="0.25">
      <c r="A16" s="44">
        <v>2031</v>
      </c>
      <c r="B16" s="18">
        <v>1761941.8</v>
      </c>
      <c r="C16" s="18">
        <f>7845537.33+1778879.13</f>
        <v>9624416.4600000009</v>
      </c>
      <c r="D16" s="18">
        <f t="shared" si="0"/>
        <v>11386358.260000002</v>
      </c>
    </row>
    <row r="17" spans="1:4" x14ac:dyDescent="0.25">
      <c r="A17" s="44">
        <v>2032</v>
      </c>
      <c r="B17" s="18">
        <v>2937457.55</v>
      </c>
      <c r="C17" s="18">
        <f>6796421.58+1714972.88</f>
        <v>8511394.4600000009</v>
      </c>
      <c r="D17" s="18">
        <f t="shared" si="0"/>
        <v>11448852.010000002</v>
      </c>
    </row>
    <row r="18" spans="1:4" x14ac:dyDescent="0.25">
      <c r="A18" s="44">
        <v>2033</v>
      </c>
      <c r="B18" s="18">
        <v>2060047.9</v>
      </c>
      <c r="C18" s="18">
        <f>7854924.98+1675019.75</f>
        <v>9529944.7300000004</v>
      </c>
      <c r="D18" s="18">
        <f t="shared" si="0"/>
        <v>11589992.630000001</v>
      </c>
    </row>
    <row r="19" spans="1:4" x14ac:dyDescent="0.25">
      <c r="A19" s="44">
        <v>2034</v>
      </c>
      <c r="B19" s="18">
        <v>5055560</v>
      </c>
      <c r="C19" s="18">
        <f>4964459.75+1575188.5</f>
        <v>6539648.25</v>
      </c>
      <c r="D19" s="18">
        <f t="shared" si="0"/>
        <v>11595208.25</v>
      </c>
    </row>
    <row r="20" spans="1:4" x14ac:dyDescent="0.25">
      <c r="A20" s="44">
        <v>2035</v>
      </c>
      <c r="B20" s="18">
        <v>657660.69999999995</v>
      </c>
      <c r="C20" s="18">
        <f>9927527.8+1563188.5</f>
        <v>11490716.300000001</v>
      </c>
      <c r="D20" s="18">
        <f t="shared" si="0"/>
        <v>12148377</v>
      </c>
    </row>
    <row r="21" spans="1:4" x14ac:dyDescent="0.25">
      <c r="A21" s="44">
        <v>2036</v>
      </c>
      <c r="B21" s="18">
        <v>8148818.7000000002</v>
      </c>
      <c r="C21" s="18">
        <f>2744369.8+1467338.5</f>
        <v>4211708.3</v>
      </c>
      <c r="D21" s="18">
        <f t="shared" si="0"/>
        <v>12360527</v>
      </c>
    </row>
    <row r="22" spans="1:4" x14ac:dyDescent="0.25">
      <c r="A22" s="44">
        <v>2037</v>
      </c>
      <c r="B22" s="18">
        <v>8446918.4000000004</v>
      </c>
      <c r="C22" s="18">
        <f>2655421.1+1367882.25</f>
        <v>4023303.35</v>
      </c>
      <c r="D22" s="18">
        <f t="shared" si="0"/>
        <v>12470221.75</v>
      </c>
    </row>
    <row r="23" spans="1:4" x14ac:dyDescent="0.25">
      <c r="A23" s="44">
        <v>2038</v>
      </c>
      <c r="B23" s="18">
        <v>9316002.0999999996</v>
      </c>
      <c r="C23" s="18">
        <f>2561880.15+1246639.05</f>
        <v>3808519.2</v>
      </c>
      <c r="D23" s="18">
        <f t="shared" si="0"/>
        <v>13124521.300000001</v>
      </c>
    </row>
    <row r="24" spans="1:4" x14ac:dyDescent="0.25">
      <c r="A24" s="44">
        <v>2039</v>
      </c>
      <c r="B24" s="18">
        <v>9675922.1999999993</v>
      </c>
      <c r="C24" s="18">
        <f>2445716.85+1120048.43</f>
        <v>3565765.2800000003</v>
      </c>
      <c r="D24" s="18">
        <f t="shared" si="0"/>
        <v>13241687.48</v>
      </c>
    </row>
    <row r="25" spans="1:4" x14ac:dyDescent="0.25">
      <c r="A25" s="44">
        <v>2040</v>
      </c>
      <c r="B25" s="18">
        <v>10881555.699999999</v>
      </c>
      <c r="C25" s="18">
        <f>2323492.73+970086.6</f>
        <v>3293579.33</v>
      </c>
      <c r="D25" s="18">
        <f t="shared" si="0"/>
        <v>14175135.029999999</v>
      </c>
    </row>
    <row r="26" spans="1:4" x14ac:dyDescent="0.25">
      <c r="A26" s="44">
        <v>2041</v>
      </c>
      <c r="B26" s="18">
        <v>11624608.800000001</v>
      </c>
      <c r="C26" s="18">
        <f>1825477.8+810167.85</f>
        <v>2635645.65</v>
      </c>
      <c r="D26" s="18">
        <f t="shared" si="0"/>
        <v>14260254.450000001</v>
      </c>
    </row>
    <row r="27" spans="1:4" x14ac:dyDescent="0.25">
      <c r="A27" s="44">
        <v>2042</v>
      </c>
      <c r="B27" s="18">
        <v>12925000</v>
      </c>
      <c r="C27" s="18">
        <f>810167.85+619323.43</f>
        <v>1429491.28</v>
      </c>
      <c r="D27" s="18">
        <f t="shared" si="0"/>
        <v>14354491.279999999</v>
      </c>
    </row>
    <row r="28" spans="1:4" x14ac:dyDescent="0.25">
      <c r="A28" s="44">
        <v>2043</v>
      </c>
      <c r="B28" s="18">
        <f>13425000</f>
        <v>13425000</v>
      </c>
      <c r="C28" s="18">
        <f>619323.43+421082.25</f>
        <v>1040405.68</v>
      </c>
      <c r="D28" s="18">
        <f t="shared" si="0"/>
        <v>14465405.68</v>
      </c>
    </row>
    <row r="29" spans="1:4" x14ac:dyDescent="0.25">
      <c r="A29" s="44">
        <v>2044</v>
      </c>
      <c r="B29" s="18">
        <v>13920000</v>
      </c>
      <c r="C29" s="18">
        <f>421082.25+215515.4</f>
        <v>636597.65</v>
      </c>
      <c r="D29" s="18">
        <f t="shared" si="0"/>
        <v>14556597.65</v>
      </c>
    </row>
    <row r="30" spans="1:4" x14ac:dyDescent="0.25">
      <c r="A30" s="44">
        <v>2045</v>
      </c>
      <c r="B30" s="18">
        <v>14440000</v>
      </c>
      <c r="C30" s="18">
        <v>215515.4</v>
      </c>
      <c r="D30" s="18">
        <f t="shared" si="0"/>
        <v>14655515.4</v>
      </c>
    </row>
    <row r="31" spans="1:4" ht="15.75" thickBot="1" x14ac:dyDescent="0.3">
      <c r="A31" s="1" t="s">
        <v>76</v>
      </c>
      <c r="B31" s="20">
        <f>SUM(B6:B30)</f>
        <v>147248364.05000001</v>
      </c>
      <c r="C31" s="20">
        <f t="shared" ref="C31:D31" si="1">SUM(C6:C30)</f>
        <v>157417170.00000006</v>
      </c>
      <c r="D31" s="20">
        <f t="shared" si="1"/>
        <v>304665534.04999995</v>
      </c>
    </row>
    <row r="32" spans="1:4" ht="15.75" thickTop="1" x14ac:dyDescent="0.25">
      <c r="B32" s="18" t="s">
        <v>19</v>
      </c>
      <c r="D32" s="32" t="s">
        <v>19</v>
      </c>
    </row>
    <row r="33" spans="1:4" x14ac:dyDescent="0.25">
      <c r="A33" s="3" t="s">
        <v>19</v>
      </c>
    </row>
    <row r="34" spans="1:4" x14ac:dyDescent="0.25">
      <c r="B34" t="s">
        <v>19</v>
      </c>
    </row>
    <row r="35" spans="1:4" x14ac:dyDescent="0.25">
      <c r="D35" s="19" t="s">
        <v>19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7"/>
  <sheetViews>
    <sheetView workbookViewId="0">
      <selection activeCell="C7" sqref="C7"/>
    </sheetView>
  </sheetViews>
  <sheetFormatPr defaultRowHeight="15" x14ac:dyDescent="0.25"/>
  <cols>
    <col min="1" max="4" width="16.28515625" customWidth="1"/>
  </cols>
  <sheetData>
    <row r="1" spans="1:4" x14ac:dyDescent="0.25">
      <c r="A1" s="59" t="s">
        <v>3</v>
      </c>
      <c r="B1" s="59"/>
      <c r="C1" s="59"/>
      <c r="D1" s="59"/>
    </row>
    <row r="2" spans="1:4" x14ac:dyDescent="0.25">
      <c r="A2" s="55" t="s">
        <v>113</v>
      </c>
      <c r="B2" s="55"/>
      <c r="C2" s="55"/>
      <c r="D2" s="55"/>
    </row>
    <row r="3" spans="1:4" x14ac:dyDescent="0.25">
      <c r="A3" t="s">
        <v>19</v>
      </c>
    </row>
    <row r="4" spans="1:4" x14ac:dyDescent="0.25">
      <c r="A4" s="1" t="s">
        <v>110</v>
      </c>
      <c r="B4" s="1"/>
      <c r="C4" s="1"/>
      <c r="D4" s="1"/>
    </row>
    <row r="5" spans="1:4" x14ac:dyDescent="0.25">
      <c r="A5" s="17" t="s">
        <v>111</v>
      </c>
      <c r="B5" s="17" t="s">
        <v>112</v>
      </c>
      <c r="C5" s="17" t="s">
        <v>75</v>
      </c>
      <c r="D5" s="17" t="s">
        <v>76</v>
      </c>
    </row>
    <row r="6" spans="1:4" x14ac:dyDescent="0.25">
      <c r="A6" s="1">
        <v>2022</v>
      </c>
      <c r="B6" s="18">
        <v>540000</v>
      </c>
      <c r="C6" s="18">
        <v>84885</v>
      </c>
      <c r="D6" s="18">
        <f t="shared" ref="D6:D12" si="0">B6+C6</f>
        <v>624885</v>
      </c>
    </row>
    <row r="7" spans="1:4" x14ac:dyDescent="0.25">
      <c r="A7" s="1">
        <v>2023</v>
      </c>
      <c r="B7" s="18">
        <v>550000</v>
      </c>
      <c r="C7" s="18">
        <v>71847.75</v>
      </c>
      <c r="D7" s="18">
        <f t="shared" si="0"/>
        <v>621847.75</v>
      </c>
    </row>
    <row r="8" spans="1:4" x14ac:dyDescent="0.25">
      <c r="A8" s="1">
        <v>2024</v>
      </c>
      <c r="B8" s="18">
        <v>565000</v>
      </c>
      <c r="C8" s="18">
        <v>58509.5</v>
      </c>
      <c r="D8" s="18">
        <f t="shared" si="0"/>
        <v>623509.5</v>
      </c>
    </row>
    <row r="9" spans="1:4" x14ac:dyDescent="0.25">
      <c r="A9" s="1">
        <v>2025</v>
      </c>
      <c r="B9" s="18">
        <v>560000</v>
      </c>
      <c r="C9" s="18">
        <v>44931.5</v>
      </c>
      <c r="D9" s="18">
        <f t="shared" si="0"/>
        <v>604931.5</v>
      </c>
    </row>
    <row r="10" spans="1:4" x14ac:dyDescent="0.25">
      <c r="A10" s="1">
        <v>2026</v>
      </c>
      <c r="B10" s="18">
        <v>575000</v>
      </c>
      <c r="C10" s="18">
        <v>31351.75</v>
      </c>
      <c r="D10" s="18">
        <f t="shared" si="0"/>
        <v>606351.75</v>
      </c>
    </row>
    <row r="11" spans="1:4" x14ac:dyDescent="0.25">
      <c r="A11" s="1">
        <v>2027</v>
      </c>
      <c r="B11" s="18">
        <v>430000</v>
      </c>
      <c r="C11" s="18">
        <v>19462</v>
      </c>
      <c r="D11" s="18">
        <f t="shared" si="0"/>
        <v>449462</v>
      </c>
    </row>
    <row r="12" spans="1:4" x14ac:dyDescent="0.25">
      <c r="A12" s="1">
        <v>2028</v>
      </c>
      <c r="B12" s="18">
        <v>435000</v>
      </c>
      <c r="C12" s="18">
        <v>9264</v>
      </c>
      <c r="D12" s="18">
        <f t="shared" si="0"/>
        <v>444264</v>
      </c>
    </row>
    <row r="13" spans="1:4" ht="15.75" thickBot="1" x14ac:dyDescent="0.3">
      <c r="A13" s="1" t="s">
        <v>76</v>
      </c>
      <c r="B13" s="20">
        <f>SUM(B6:B12)</f>
        <v>3655000</v>
      </c>
      <c r="C13" s="20">
        <f>SUM(C6:C12)</f>
        <v>320251.5</v>
      </c>
      <c r="D13" s="20">
        <f>SUM(D6:D12)</f>
        <v>3975251.5</v>
      </c>
    </row>
    <row r="14" spans="1:4" ht="15.75" thickTop="1" x14ac:dyDescent="0.25">
      <c r="D14" s="19" t="s">
        <v>19</v>
      </c>
    </row>
    <row r="15" spans="1:4" x14ac:dyDescent="0.25">
      <c r="A15" s="3" t="s">
        <v>19</v>
      </c>
    </row>
    <row r="17" spans="4:4" x14ac:dyDescent="0.25">
      <c r="D17" s="19" t="s">
        <v>19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16"/>
  <sheetViews>
    <sheetView workbookViewId="0">
      <selection activeCell="C7" sqref="C7"/>
    </sheetView>
  </sheetViews>
  <sheetFormatPr defaultRowHeight="15" x14ac:dyDescent="0.25"/>
  <cols>
    <col min="1" max="4" width="16.28515625" customWidth="1"/>
  </cols>
  <sheetData>
    <row r="1" spans="1:4" x14ac:dyDescent="0.25">
      <c r="A1" s="59" t="s">
        <v>3</v>
      </c>
      <c r="B1" s="59"/>
      <c r="C1" s="59"/>
      <c r="D1" s="59"/>
    </row>
    <row r="2" spans="1:4" x14ac:dyDescent="0.25">
      <c r="A2" s="55" t="s">
        <v>114</v>
      </c>
      <c r="B2" s="55"/>
      <c r="C2" s="55"/>
      <c r="D2" s="55"/>
    </row>
    <row r="3" spans="1:4" x14ac:dyDescent="0.25">
      <c r="A3" t="s">
        <v>19</v>
      </c>
    </row>
    <row r="4" spans="1:4" x14ac:dyDescent="0.25">
      <c r="A4" s="1" t="s">
        <v>110</v>
      </c>
      <c r="B4" s="1"/>
      <c r="C4" s="1"/>
      <c r="D4" s="1"/>
    </row>
    <row r="5" spans="1:4" x14ac:dyDescent="0.25">
      <c r="A5" s="17" t="s">
        <v>111</v>
      </c>
      <c r="B5" s="17" t="s">
        <v>112</v>
      </c>
      <c r="C5" s="17" t="s">
        <v>75</v>
      </c>
      <c r="D5" s="17" t="s">
        <v>76</v>
      </c>
    </row>
    <row r="6" spans="1:4" x14ac:dyDescent="0.25">
      <c r="A6" s="1">
        <v>2022</v>
      </c>
      <c r="B6" s="18">
        <v>103151</v>
      </c>
      <c r="C6" s="18">
        <f>7887.01+6649.19-1</f>
        <v>14535.2</v>
      </c>
      <c r="D6" s="18">
        <f t="shared" ref="D6:D11" si="0">SUM(B6:C6)</f>
        <v>117686.2</v>
      </c>
    </row>
    <row r="7" spans="1:4" x14ac:dyDescent="0.25">
      <c r="A7" s="1">
        <v>2023</v>
      </c>
      <c r="B7" s="18">
        <v>105627</v>
      </c>
      <c r="C7" s="18">
        <f>6649.19+5381.68</f>
        <v>12030.869999999999</v>
      </c>
      <c r="D7" s="18">
        <f t="shared" si="0"/>
        <v>117657.87</v>
      </c>
    </row>
    <row r="8" spans="1:4" x14ac:dyDescent="0.25">
      <c r="A8" s="1">
        <v>2024</v>
      </c>
      <c r="B8" s="18">
        <v>108162</v>
      </c>
      <c r="C8" s="18">
        <f>5381.68+4083.74</f>
        <v>9465.42</v>
      </c>
      <c r="D8" s="18">
        <f t="shared" si="0"/>
        <v>117627.42</v>
      </c>
    </row>
    <row r="9" spans="1:4" x14ac:dyDescent="0.25">
      <c r="A9" s="1">
        <v>2025</v>
      </c>
      <c r="B9" s="18">
        <v>110757</v>
      </c>
      <c r="C9" s="18">
        <f>4083.74+2754.65</f>
        <v>6838.3899999999994</v>
      </c>
      <c r="D9" s="18">
        <f t="shared" si="0"/>
        <v>117595.39</v>
      </c>
    </row>
    <row r="10" spans="1:4" x14ac:dyDescent="0.25">
      <c r="A10" s="1">
        <v>2026</v>
      </c>
      <c r="B10" s="18">
        <v>113416</v>
      </c>
      <c r="C10" s="18">
        <f>2754.65+1393.66</f>
        <v>4148.3100000000004</v>
      </c>
      <c r="D10" s="18">
        <f t="shared" si="0"/>
        <v>117564.31</v>
      </c>
    </row>
    <row r="11" spans="1:4" x14ac:dyDescent="0.25">
      <c r="A11" s="1">
        <v>2027</v>
      </c>
      <c r="B11" s="18">
        <v>116138</v>
      </c>
      <c r="C11" s="18">
        <v>1393.66</v>
      </c>
      <c r="D11" s="18">
        <f t="shared" si="0"/>
        <v>117531.66</v>
      </c>
    </row>
    <row r="12" spans="1:4" ht="15.75" thickBot="1" x14ac:dyDescent="0.3">
      <c r="A12" s="1" t="s">
        <v>76</v>
      </c>
      <c r="B12" s="20">
        <f>SUM(B6:B11)</f>
        <v>657251</v>
      </c>
      <c r="C12" s="20">
        <f>SUM(C6:C11)</f>
        <v>48411.85</v>
      </c>
      <c r="D12" s="20">
        <f>SUM(D6:D11)</f>
        <v>705662.85</v>
      </c>
    </row>
    <row r="13" spans="1:4" ht="15.75" thickTop="1" x14ac:dyDescent="0.25">
      <c r="D13" s="19" t="s">
        <v>19</v>
      </c>
    </row>
    <row r="14" spans="1:4" x14ac:dyDescent="0.25">
      <c r="A14" s="3" t="s">
        <v>19</v>
      </c>
    </row>
    <row r="16" spans="1:4" x14ac:dyDescent="0.25">
      <c r="D16" s="19" t="s">
        <v>19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horizontalDpi="4294967295" verticalDpi="4294967295" r:id="rId1"/>
  <ignoredErrors>
    <ignoredError sqref="D6:D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Title Page</vt:lpstr>
      <vt:lpstr>Fund FS</vt:lpstr>
      <vt:lpstr>List of Bond Issues</vt:lpstr>
      <vt:lpstr>General Obligation Bonds wP&amp;I</vt:lpstr>
      <vt:lpstr>General Obligation wper capita</vt:lpstr>
      <vt:lpstr>General Obligation per Student</vt:lpstr>
      <vt:lpstr>Total Bonded Debt OS</vt:lpstr>
      <vt:lpstr>Maint Tax Note</vt:lpstr>
      <vt:lpstr>Notes Payable</vt:lpstr>
      <vt:lpstr>'General Obligation Bonds wP&amp;I'!Print_Area</vt:lpstr>
      <vt:lpstr>'General Obligation per Student'!Print_Area</vt:lpstr>
      <vt:lpstr>'General Obligation wper capita'!Print_Area</vt:lpstr>
      <vt:lpstr>'List of Bond Issues'!Print_Area</vt:lpstr>
      <vt:lpstr>'Maint Tax Note'!Print_Area</vt:lpstr>
      <vt:lpstr>'Notes Payable'!Print_Area</vt:lpstr>
      <vt:lpstr>'Total Bonded Debt OS'!Print_Area</vt:lpstr>
    </vt:vector>
  </TitlesOfParts>
  <Manager/>
  <Company>White Settlement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Janette Owens</dc:creator>
  <cp:keywords/>
  <dc:description/>
  <cp:lastModifiedBy>James Maddux</cp:lastModifiedBy>
  <cp:revision/>
  <dcterms:created xsi:type="dcterms:W3CDTF">2016-11-07T18:29:07Z</dcterms:created>
  <dcterms:modified xsi:type="dcterms:W3CDTF">2024-09-17T16:08:34Z</dcterms:modified>
  <cp:category/>
  <cp:contentStatus/>
</cp:coreProperties>
</file>