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35" windowHeight="7620" firstSheet="1" activeTab="12"/>
  </bookViews>
  <sheets>
    <sheet name="Template" sheetId="56" state="hidden" r:id="rId1"/>
    <sheet name="#0664 Academy Positive Learning" sheetId="57" r:id="rId2"/>
    <sheet name="#3400 Believers Academy " sheetId="58" r:id="rId3"/>
    <sheet name="#4010 Belle Glade Excel  " sheetId="102" r:id="rId4"/>
    <sheet name="#3941 Ben Gamla " sheetId="59" r:id="rId5"/>
    <sheet name="#0054 Boca Raton CS " sheetId="60" r:id="rId6"/>
    <sheet name="#3385  Bright Futures Academy " sheetId="61" r:id="rId7"/>
    <sheet name="#3392 Charter Sch Boynton Beach" sheetId="62" r:id="rId8"/>
    <sheet name="#0642 DayStar Academy " sheetId="5" r:id="rId9"/>
    <sheet name="#2521 Ed Venture " sheetId="63" r:id="rId10"/>
    <sheet name="#3398 Everglades Preparatory " sheetId="64" r:id="rId11"/>
    <sheet name="#4040 Florida Virtual Academy " sheetId="108" r:id="rId12"/>
    <sheet name="#4020 Franklin Academy &quot;B&quot; " sheetId="66" r:id="rId13"/>
    <sheet name="#3396 G-Star of the Arts " sheetId="67" r:id="rId14"/>
    <sheet name="#3961 Gardens Schl Tech Arts" sheetId="68" r:id="rId15"/>
    <sheet name="#3382 Glades Academy " sheetId="69" r:id="rId16"/>
    <sheet name="#3345 Gulfstream Goodwill Life " sheetId="70" r:id="rId17"/>
    <sheet name="#3384 Hope Learning Riviera " sheetId="72" r:id="rId18"/>
    <sheet name="#3381 Imagine Schools " sheetId="74" r:id="rId19"/>
    <sheet name="#1461 Inlet Grove Comm. HS " sheetId="75" r:id="rId20"/>
    <sheet name="#3395 JFK Medical Center CS " sheetId="76" r:id="rId21"/>
    <sheet name="#2661Joseph Littles~Nguzo Saba " sheetId="77" r:id="rId22"/>
    <sheet name="#2641 Lakeside Academy " sheetId="78" r:id="rId23"/>
    <sheet name="#3347 Leadership Academy West " sheetId="79" r:id="rId24"/>
    <sheet name="#4037 Learning Path Academy " sheetId="101" r:id="rId25"/>
    <sheet name="#3971 Mavericks @ Palm Springs " sheetId="80" r:id="rId26"/>
    <sheet name="#3394 Montessori Acad Early  " sheetId="81" r:id="rId27"/>
    <sheet name="#3411 My Choice Academy" sheetId="82" r:id="rId28"/>
    <sheet name="#2801 Palm Beach Maritime Acad " sheetId="83" r:id="rId29"/>
    <sheet name="#2941 Palm Beach School Autism " sheetId="84" r:id="rId30"/>
    <sheet name="#2531 Potentials " sheetId="85" r:id="rId31"/>
    <sheet name="#3401 Quantum High School " sheetId="86" r:id="rId32"/>
    <sheet name="#4001 Renaissance @ Gardens Ws " sheetId="106" r:id="rId33"/>
    <sheet name="#4000 Renaissance  @ Palms West" sheetId="88" r:id="rId34"/>
    <sheet name="#4002 Renaissance CS @ Summit " sheetId="89" r:id="rId35"/>
    <sheet name=" #3431 Rennaisance CS @ WPB" sheetId="90" r:id="rId36"/>
    <sheet name="#3083 Renaissance Learning Acad" sheetId="91" r:id="rId37"/>
    <sheet name="#2791 Renaissance Learning Cntr" sheetId="92" r:id="rId38"/>
    <sheet name="#3443 Riviera Bch Maritime Acad" sheetId="93" r:id="rId39"/>
    <sheet name="#3391 Seagull Academy Ind. Liv" sheetId="94" r:id="rId40"/>
    <sheet name="#3413 Somerset Acad Boca East" sheetId="103" r:id="rId41"/>
    <sheet name="#4041 Somerset Acad Boca Middle" sheetId="104" r:id="rId42"/>
    <sheet name="#4013 Somerset Acad Canyons HS " sheetId="100" r:id="rId43"/>
    <sheet name="#4012 Somerset Canyons Middle  " sheetId="105" r:id="rId44"/>
    <sheet name="#1571 South Tech Charter Acad" sheetId="95" r:id="rId45"/>
    <sheet name="#3441 South Tech Preparatory " sheetId="55" r:id="rId46"/>
    <sheet name="#3344 Tomorrow's Promise Comm " sheetId="96" r:id="rId47"/>
    <sheet name="#3386 Toussaint L'Ouverture " sheetId="97" r:id="rId48"/>
    <sheet name="#2911 Western Academy" sheetId="98" r:id="rId49"/>
    <sheet name="#3421 Worthington High School" sheetId="99" r:id="rId50"/>
  </sheets>
  <definedNames>
    <definedName name="_xlnm.Print_Area" localSheetId="35">' #3431 Rennaisance CS @ WPB'!$B$1:$M$22</definedName>
    <definedName name="_xlnm.Print_Area" localSheetId="5">'#0054 Boca Raton CS '!$B$1:$M$22</definedName>
    <definedName name="_xlnm.Print_Area" localSheetId="8">'#0642 DayStar Academy '!$B$1:$M$22</definedName>
    <definedName name="_xlnm.Print_Area" localSheetId="1">'#0664 Academy Positive Learning'!$B$1:$M$23</definedName>
    <definedName name="_xlnm.Print_Area" localSheetId="19">'#1461 Inlet Grove Comm. HS '!$B$1:$M$28</definedName>
    <definedName name="_xlnm.Print_Area" localSheetId="44">'#1571 South Tech Charter Acad'!$B$1:$M$31</definedName>
    <definedName name="_xlnm.Print_Area" localSheetId="9">'#2521 Ed Venture '!$B$1:$M$23</definedName>
    <definedName name="_xlnm.Print_Area" localSheetId="30">'#2531 Potentials '!$B$1:$M$22</definedName>
    <definedName name="_xlnm.Print_Area" localSheetId="22">'#2641 Lakeside Academy '!$B$1:$M$22</definedName>
    <definedName name="_xlnm.Print_Area" localSheetId="21">'#2661Joseph Littles~Nguzo Saba '!$B$1:$M$22</definedName>
    <definedName name="_xlnm.Print_Area" localSheetId="37">'#2791 Renaissance Learning Cntr'!$B$1:$M$21</definedName>
    <definedName name="_xlnm.Print_Area" localSheetId="28">'#2801 Palm Beach Maritime Acad '!$B$1:$M$23</definedName>
    <definedName name="_xlnm.Print_Area" localSheetId="48">'#2911 Western Academy'!$B$1:$M$16</definedName>
    <definedName name="_xlnm.Print_Area" localSheetId="29">'#2941 Palm Beach School Autism '!$B$1:$M$21</definedName>
    <definedName name="_xlnm.Print_Area" localSheetId="36">'#3083 Renaissance Learning Acad'!$B$1:$M$21</definedName>
    <definedName name="_xlnm.Print_Area" localSheetId="46">'#3344 Tomorrow''s Promise Comm '!$B$1:$M$18</definedName>
    <definedName name="_xlnm.Print_Area" localSheetId="16">'#3345 Gulfstream Goodwill Life '!$B$1:$M$21</definedName>
    <definedName name="_xlnm.Print_Area" localSheetId="23">'#3347 Leadership Academy West '!$B$1:$M$23</definedName>
    <definedName name="_xlnm.Print_Area" localSheetId="18">'#3381 Imagine Schools '!$B$1:$M$22</definedName>
    <definedName name="_xlnm.Print_Area" localSheetId="15">'#3382 Glades Academy '!$B$1:$M$22</definedName>
    <definedName name="_xlnm.Print_Area" localSheetId="17">'#3384 Hope Learning Riviera '!$B$1:$M$22</definedName>
    <definedName name="_xlnm.Print_Area" localSheetId="6">'#3385  Bright Futures Academy '!$B$1:$M$21</definedName>
    <definedName name="_xlnm.Print_Area" localSheetId="47">'#3386 Toussaint L''Ouverture '!$B$1:$M$19</definedName>
    <definedName name="_xlnm.Print_Area" localSheetId="39">'#3391 Seagull Academy Ind. Liv'!$B$1:$M$22</definedName>
    <definedName name="_xlnm.Print_Area" localSheetId="7">'#3392 Charter Sch Boynton Beach'!$B$1:$M$24</definedName>
    <definedName name="_xlnm.Print_Area" localSheetId="26">'#3394 Montessori Acad Early  '!$B$1:$M$22</definedName>
    <definedName name="_xlnm.Print_Area" localSheetId="20">'#3395 JFK Medical Center CS '!$B$1:$M$21</definedName>
    <definedName name="_xlnm.Print_Area" localSheetId="13">'#3396 G-Star of the Arts '!$B$1:$M$22</definedName>
    <definedName name="_xlnm.Print_Area" localSheetId="10">'#3398 Everglades Preparatory '!$B$1:$M$23</definedName>
    <definedName name="_xlnm.Print_Area" localSheetId="2">'#3400 Believers Academy '!$B$1:$M$22</definedName>
    <definedName name="_xlnm.Print_Area" localSheetId="31">'#3401 Quantum High School '!$B$1:$M$23</definedName>
    <definedName name="_xlnm.Print_Area" localSheetId="27">'#3411 My Choice Academy'!$B$1:$M$21</definedName>
    <definedName name="_xlnm.Print_Area" localSheetId="40">'#3413 Somerset Acad Boca East'!$B$1:$M$21</definedName>
    <definedName name="_xlnm.Print_Area" localSheetId="49">'#3421 Worthington High School'!$B$1:$M$18</definedName>
    <definedName name="_xlnm.Print_Area" localSheetId="45">'#3441 South Tech Preparatory '!$B$1:$M$22</definedName>
    <definedName name="_xlnm.Print_Area" localSheetId="38">'#3443 Riviera Bch Maritime Acad'!$B$1:$M$22</definedName>
    <definedName name="_xlnm.Print_Area" localSheetId="4">'#3941 Ben Gamla '!$B$1:$M$19</definedName>
    <definedName name="_xlnm.Print_Area" localSheetId="14">'#3961 Gardens Schl Tech Arts'!$B$1:$M$23</definedName>
    <definedName name="_xlnm.Print_Area" localSheetId="25">'#3971 Mavericks @ Palm Springs '!$B$1:$M$22</definedName>
    <definedName name="_xlnm.Print_Area" localSheetId="33">'#4000 Renaissance  @ Palms West'!$B$1:$M$23</definedName>
    <definedName name="_xlnm.Print_Area" localSheetId="32">'#4001 Renaissance @ Gardens Ws '!$B$1:$M$21</definedName>
    <definedName name="_xlnm.Print_Area" localSheetId="34">'#4002 Renaissance CS @ Summit '!$B$1:$M$24</definedName>
    <definedName name="_xlnm.Print_Area" localSheetId="3">'#4010 Belle Glade Excel  '!$B$1:$M$22</definedName>
    <definedName name="_xlnm.Print_Area" localSheetId="43">'#4012 Somerset Canyons Middle  '!$B$1:$M$22</definedName>
    <definedName name="_xlnm.Print_Area" localSheetId="42">'#4013 Somerset Acad Canyons HS '!$B$1:$M$22</definedName>
    <definedName name="_xlnm.Print_Area" localSheetId="12">'#4020 Franklin Academy "B" '!$B$1:$M$17</definedName>
    <definedName name="_xlnm.Print_Area" localSheetId="24">'#4037 Learning Path Academy '!$B$1:$M$23</definedName>
    <definedName name="_xlnm.Print_Area" localSheetId="11">'#4040 Florida Virtual Academy '!$B$1:$M$18</definedName>
    <definedName name="_xlnm.Print_Area" localSheetId="41">'#4041 Somerset Acad Boca Middle'!$B$1:$M$21</definedName>
    <definedName name="_xlnm.Print_Area" localSheetId="0">Template!$B$1:$M$20</definedName>
  </definedNames>
  <calcPr calcId="144525"/>
</workbook>
</file>

<file path=xl/calcChain.xml><?xml version="1.0" encoding="utf-8"?>
<calcChain xmlns="http://schemas.openxmlformats.org/spreadsheetml/2006/main">
  <c r="K8" i="78" l="1"/>
  <c r="K8" i="101" l="1"/>
  <c r="K7" i="80"/>
  <c r="H11" i="75" l="1"/>
  <c r="M10" i="62" l="1"/>
  <c r="M10" i="89"/>
  <c r="K7" i="67"/>
  <c r="H11" i="67"/>
  <c r="I10" i="62" l="1"/>
  <c r="H7" i="104" l="1"/>
  <c r="H7" i="108"/>
  <c r="H8" i="101"/>
  <c r="H7" i="66"/>
  <c r="H7" i="100"/>
  <c r="H8" i="102"/>
  <c r="H8" i="89"/>
  <c r="K7" i="88"/>
  <c r="H7" i="59"/>
  <c r="H7" i="93"/>
  <c r="H7" i="90"/>
  <c r="H8" i="99"/>
  <c r="H7" i="103"/>
  <c r="H8" i="86"/>
  <c r="H8" i="64"/>
  <c r="K7" i="64"/>
  <c r="H8" i="81"/>
  <c r="H8" i="94"/>
  <c r="H8" i="97"/>
  <c r="H7" i="61"/>
  <c r="H8" i="72"/>
  <c r="H8" i="79"/>
  <c r="H7" i="70"/>
  <c r="H7" i="84"/>
  <c r="H7" i="98"/>
  <c r="H8" i="83"/>
  <c r="H8" i="78"/>
  <c r="H8" i="85"/>
  <c r="H8" i="63"/>
  <c r="H8" i="75"/>
  <c r="K7" i="75"/>
  <c r="H7" i="60"/>
  <c r="M8" i="108" l="1"/>
  <c r="L11" i="108"/>
  <c r="K11" i="108"/>
  <c r="H11" i="108"/>
  <c r="I8" i="108"/>
  <c r="M7" i="108"/>
  <c r="M11" i="108" s="1"/>
  <c r="I7" i="108"/>
  <c r="I11" i="108" s="1"/>
  <c r="G7" i="108"/>
  <c r="G11" i="108" s="1"/>
  <c r="K7" i="101"/>
  <c r="K7" i="102"/>
  <c r="K7" i="89"/>
  <c r="K7" i="99"/>
  <c r="K7" i="62"/>
  <c r="K7" i="83"/>
  <c r="K7" i="5"/>
  <c r="M9" i="83" l="1"/>
  <c r="I9" i="83" l="1"/>
  <c r="M7" i="66" l="1"/>
  <c r="K8" i="90"/>
  <c r="K7" i="100" l="1"/>
  <c r="K8" i="55"/>
  <c r="K8" i="69"/>
  <c r="L12" i="88" l="1"/>
  <c r="K12" i="88"/>
  <c r="M9" i="88"/>
  <c r="M9" i="68"/>
  <c r="M10" i="59"/>
  <c r="K7" i="76"/>
  <c r="K7" i="81"/>
  <c r="K7" i="69"/>
  <c r="H8" i="96" l="1"/>
  <c r="K7" i="95" l="1"/>
  <c r="K7" i="90" l="1"/>
  <c r="K7" i="86"/>
  <c r="K8" i="64"/>
  <c r="K8" i="62"/>
  <c r="K7" i="74"/>
  <c r="K8" i="79"/>
  <c r="K7" i="79"/>
  <c r="K7" i="98"/>
  <c r="K8" i="83"/>
  <c r="I10" i="89" l="1"/>
  <c r="I9" i="88"/>
  <c r="I9" i="68"/>
  <c r="I10" i="59"/>
  <c r="K7" i="94" l="1"/>
  <c r="K7" i="78"/>
  <c r="K7" i="77"/>
  <c r="H7" i="80" l="1"/>
  <c r="M8" i="57" l="1"/>
  <c r="I8" i="57"/>
  <c r="K8" i="100" l="1"/>
  <c r="M7" i="89" l="1"/>
  <c r="M8" i="89"/>
  <c r="K8" i="89"/>
  <c r="K8" i="75"/>
  <c r="K7" i="92" l="1"/>
  <c r="K7" i="55"/>
  <c r="M9" i="55"/>
  <c r="M7" i="100"/>
  <c r="M11" i="105"/>
  <c r="L11" i="105"/>
  <c r="K11" i="105"/>
  <c r="M7" i="105"/>
  <c r="K7" i="105"/>
  <c r="K8" i="96"/>
  <c r="K8" i="80" l="1"/>
  <c r="K8" i="95" l="1"/>
  <c r="K9" i="57" l="1"/>
  <c r="M8" i="55"/>
  <c r="K8" i="81"/>
  <c r="K7" i="85"/>
  <c r="I9" i="79" l="1"/>
  <c r="K9" i="101" l="1"/>
  <c r="L11" i="95" l="1"/>
  <c r="L9" i="75" l="1"/>
  <c r="K7" i="63" l="1"/>
  <c r="K11" i="75" l="1"/>
  <c r="H10" i="75" l="1"/>
  <c r="M10" i="57" l="1"/>
  <c r="M8" i="90" l="1"/>
  <c r="I8" i="90"/>
  <c r="K7" i="96" l="1"/>
  <c r="I10" i="57" l="1"/>
  <c r="K7" i="59" l="1"/>
  <c r="K7" i="61"/>
  <c r="K8" i="102" l="1"/>
  <c r="K8" i="105" l="1"/>
  <c r="K7" i="68" l="1"/>
  <c r="K9" i="97" l="1"/>
  <c r="K13" i="89"/>
  <c r="M13" i="89"/>
  <c r="K8" i="74"/>
  <c r="K10" i="75"/>
  <c r="K11" i="90" l="1"/>
  <c r="M7" i="90"/>
  <c r="M11" i="90" s="1"/>
  <c r="K7" i="70"/>
  <c r="K8" i="85"/>
  <c r="K8" i="63"/>
  <c r="K8" i="5"/>
  <c r="M7" i="88" l="1"/>
  <c r="M12" i="88" s="1"/>
  <c r="I9" i="95" l="1"/>
  <c r="H9" i="95"/>
  <c r="M8" i="102" l="1"/>
  <c r="K7" i="58"/>
  <c r="I7" i="80" l="1"/>
  <c r="G11" i="75"/>
  <c r="L11" i="100" l="1"/>
  <c r="K11" i="100"/>
  <c r="H11" i="100"/>
  <c r="I8" i="58" l="1"/>
  <c r="I8" i="102"/>
  <c r="I8" i="59"/>
  <c r="I8" i="60"/>
  <c r="I8" i="61"/>
  <c r="I8" i="62"/>
  <c r="I8" i="5"/>
  <c r="I8" i="63"/>
  <c r="I8" i="64"/>
  <c r="I8" i="66"/>
  <c r="I8" i="67"/>
  <c r="I8" i="68"/>
  <c r="I8" i="69"/>
  <c r="I8" i="70"/>
  <c r="I8" i="72"/>
  <c r="I8" i="74"/>
  <c r="I8" i="75"/>
  <c r="I8" i="76"/>
  <c r="I8" i="77"/>
  <c r="I8" i="78"/>
  <c r="I8" i="101"/>
  <c r="I8" i="80"/>
  <c r="I8" i="82"/>
  <c r="I8" i="83"/>
  <c r="I8" i="85"/>
  <c r="I8" i="86"/>
  <c r="I8" i="106"/>
  <c r="I8" i="88"/>
  <c r="I8" i="89"/>
  <c r="I8" i="92"/>
  <c r="I8" i="93"/>
  <c r="I8" i="94"/>
  <c r="I8" i="104"/>
  <c r="I8" i="105"/>
  <c r="I8" i="95"/>
  <c r="I8" i="55"/>
  <c r="I8" i="96"/>
  <c r="I8" i="97"/>
  <c r="I8" i="98"/>
  <c r="I8" i="99"/>
  <c r="I9" i="57"/>
  <c r="I7" i="58"/>
  <c r="I7" i="102"/>
  <c r="I7" i="59"/>
  <c r="I7" i="60"/>
  <c r="I7" i="62"/>
  <c r="I7" i="5"/>
  <c r="I7" i="63"/>
  <c r="I7" i="64"/>
  <c r="I7" i="66"/>
  <c r="I7" i="67"/>
  <c r="I7" i="68"/>
  <c r="I7" i="69"/>
  <c r="I7" i="70"/>
  <c r="I7" i="72"/>
  <c r="I7" i="74"/>
  <c r="I7" i="75"/>
  <c r="I7" i="76"/>
  <c r="I7" i="77"/>
  <c r="I7" i="78"/>
  <c r="I7" i="79"/>
  <c r="I7" i="101"/>
  <c r="I7" i="82"/>
  <c r="I7" i="83"/>
  <c r="I7" i="85"/>
  <c r="I7" i="86"/>
  <c r="I7" i="106"/>
  <c r="I7" i="88"/>
  <c r="I7" i="89"/>
  <c r="I7" i="90"/>
  <c r="I7" i="91"/>
  <c r="I7" i="92"/>
  <c r="I7" i="93"/>
  <c r="I7" i="94"/>
  <c r="I7" i="104"/>
  <c r="I7" i="105"/>
  <c r="I7" i="95"/>
  <c r="I7" i="55"/>
  <c r="I7" i="96"/>
  <c r="I7" i="97"/>
  <c r="I7" i="98"/>
  <c r="I7" i="99"/>
  <c r="I7" i="57"/>
  <c r="G7" i="68" l="1"/>
  <c r="G8" i="101" l="1"/>
  <c r="G7" i="105"/>
  <c r="G8" i="102"/>
  <c r="G8" i="89"/>
  <c r="G7" i="88"/>
  <c r="G7" i="90"/>
  <c r="G8" i="86"/>
  <c r="G8" i="64"/>
  <c r="G7" i="76"/>
  <c r="G8" i="81"/>
  <c r="I8" i="81" s="1"/>
  <c r="G8" i="94"/>
  <c r="G7" i="74"/>
  <c r="G8" i="79"/>
  <c r="I8" i="79" s="1"/>
  <c r="G7" i="91"/>
  <c r="G7" i="84"/>
  <c r="I7" i="84" s="1"/>
  <c r="G8" i="83"/>
  <c r="G7" i="92"/>
  <c r="G8" i="77"/>
  <c r="G8" i="78"/>
  <c r="K9" i="95"/>
  <c r="G8" i="5"/>
  <c r="G7" i="60"/>
  <c r="K9" i="62" l="1"/>
  <c r="G8" i="58" l="1"/>
  <c r="K7" i="57"/>
  <c r="K9" i="77" l="1"/>
  <c r="M9" i="77" l="1"/>
  <c r="M8" i="77"/>
  <c r="G7" i="104" l="1"/>
  <c r="G7" i="66"/>
  <c r="G7" i="100"/>
  <c r="G7" i="59"/>
  <c r="G7" i="93"/>
  <c r="G7" i="103"/>
  <c r="I7" i="103" s="1"/>
  <c r="G7" i="67"/>
  <c r="G7" i="98"/>
  <c r="G8" i="95"/>
  <c r="I7" i="100" l="1"/>
  <c r="G11" i="100"/>
  <c r="I11" i="105"/>
  <c r="H11" i="105"/>
  <c r="G11" i="105"/>
  <c r="H12" i="88" l="1"/>
  <c r="G12" i="88"/>
  <c r="I12" i="88"/>
  <c r="H11" i="90"/>
  <c r="G11" i="90"/>
  <c r="I11" i="90"/>
  <c r="G7" i="70"/>
  <c r="H11" i="66" l="1"/>
  <c r="G11" i="66"/>
  <c r="I11" i="66"/>
  <c r="G8" i="63"/>
  <c r="M8" i="101" l="1"/>
  <c r="M7" i="101"/>
  <c r="E31" i="95" l="1"/>
  <c r="I13" i="89" l="1"/>
  <c r="H13" i="89"/>
  <c r="G13" i="89"/>
  <c r="M11" i="75" l="1"/>
  <c r="I11" i="75" l="1"/>
  <c r="I9" i="55" l="1"/>
  <c r="I9" i="101"/>
  <c r="M9" i="101"/>
  <c r="L10" i="106" l="1"/>
  <c r="K10" i="106"/>
  <c r="H10" i="106"/>
  <c r="G10" i="106"/>
  <c r="M7" i="106"/>
  <c r="M10" i="106" s="1"/>
  <c r="I10" i="106"/>
  <c r="G7" i="83" l="1"/>
  <c r="G7" i="81"/>
  <c r="I7" i="81" s="1"/>
  <c r="I9" i="78" l="1"/>
  <c r="M9" i="59"/>
  <c r="I9" i="59"/>
  <c r="M8" i="68"/>
  <c r="M8" i="74" l="1"/>
  <c r="M10" i="75"/>
  <c r="I10" i="75"/>
  <c r="M8" i="105" l="1"/>
  <c r="L10" i="104"/>
  <c r="K10" i="104"/>
  <c r="H10" i="104"/>
  <c r="G10" i="104"/>
  <c r="M7" i="104"/>
  <c r="M10" i="104" s="1"/>
  <c r="I10" i="104"/>
  <c r="L10" i="103"/>
  <c r="K10" i="103"/>
  <c r="H10" i="103"/>
  <c r="G10" i="103"/>
  <c r="M7" i="103"/>
  <c r="M10" i="103" s="1"/>
  <c r="I10" i="103"/>
  <c r="L11" i="102"/>
  <c r="K11" i="102"/>
  <c r="G11" i="102"/>
  <c r="M7" i="102"/>
  <c r="M11" i="102" s="1"/>
  <c r="H7" i="102"/>
  <c r="L12" i="101"/>
  <c r="K12" i="101"/>
  <c r="H12" i="101"/>
  <c r="G12" i="101"/>
  <c r="M12" i="101"/>
  <c r="I12" i="101"/>
  <c r="I9" i="77"/>
  <c r="I11" i="102" l="1"/>
  <c r="M8" i="100"/>
  <c r="M11" i="100" s="1"/>
  <c r="I8" i="100"/>
  <c r="I11" i="100" s="1"/>
  <c r="M11" i="95"/>
  <c r="M10" i="95"/>
  <c r="M9" i="95"/>
  <c r="I10" i="95"/>
  <c r="H11" i="102" l="1"/>
  <c r="K8" i="93"/>
  <c r="M8" i="67"/>
  <c r="M8" i="76"/>
  <c r="M8" i="98" l="1"/>
  <c r="M9" i="78"/>
  <c r="M8" i="60"/>
  <c r="M8" i="59"/>
  <c r="L12" i="55" l="1"/>
  <c r="K12" i="55"/>
  <c r="H12" i="55"/>
  <c r="G12" i="55"/>
  <c r="M7" i="55"/>
  <c r="M12" i="55" s="1"/>
  <c r="I12" i="55"/>
  <c r="L12" i="99" l="1"/>
  <c r="K12" i="99"/>
  <c r="H12" i="99"/>
  <c r="G12" i="99"/>
  <c r="M9" i="99"/>
  <c r="I9" i="99"/>
  <c r="M8" i="99"/>
  <c r="M7" i="99"/>
  <c r="M12" i="99" s="1"/>
  <c r="M11" i="56"/>
  <c r="M10" i="56"/>
  <c r="I11" i="56"/>
  <c r="I10" i="56"/>
  <c r="M8" i="56"/>
  <c r="I8" i="56"/>
  <c r="L10" i="98"/>
  <c r="K10" i="98"/>
  <c r="H10" i="98"/>
  <c r="G10" i="98"/>
  <c r="M7" i="98"/>
  <c r="M10" i="98" s="1"/>
  <c r="I10" i="98"/>
  <c r="L12" i="97"/>
  <c r="K12" i="97"/>
  <c r="H12" i="97"/>
  <c r="M9" i="97"/>
  <c r="I9" i="97"/>
  <c r="M8" i="97"/>
  <c r="M7" i="97"/>
  <c r="G12" i="97"/>
  <c r="L11" i="96"/>
  <c r="K11" i="96"/>
  <c r="H11" i="96"/>
  <c r="M8" i="96"/>
  <c r="M7" i="96"/>
  <c r="G11" i="96"/>
  <c r="K14" i="95"/>
  <c r="H14" i="95"/>
  <c r="I11" i="95"/>
  <c r="M8" i="95"/>
  <c r="M7" i="95"/>
  <c r="G14" i="95"/>
  <c r="L11" i="94"/>
  <c r="K11" i="94"/>
  <c r="H11" i="94"/>
  <c r="M8" i="94"/>
  <c r="M7" i="94"/>
  <c r="G11" i="94"/>
  <c r="L11" i="93"/>
  <c r="H11" i="93"/>
  <c r="G11" i="93"/>
  <c r="K11" i="93"/>
  <c r="M8" i="93"/>
  <c r="M7" i="93"/>
  <c r="L10" i="92"/>
  <c r="K10" i="92"/>
  <c r="H10" i="92"/>
  <c r="G10" i="92"/>
  <c r="M7" i="92"/>
  <c r="M10" i="92" s="1"/>
  <c r="I10" i="92"/>
  <c r="M7" i="56"/>
  <c r="I7" i="56"/>
  <c r="L10" i="91"/>
  <c r="K10" i="91"/>
  <c r="H10" i="91"/>
  <c r="G10" i="91"/>
  <c r="M7" i="91"/>
  <c r="M10" i="91" s="1"/>
  <c r="I10" i="91"/>
  <c r="L14" i="56"/>
  <c r="K14" i="56"/>
  <c r="H14" i="56"/>
  <c r="G14" i="56"/>
  <c r="L13" i="89"/>
  <c r="M9" i="89"/>
  <c r="I9" i="89"/>
  <c r="M8" i="88"/>
  <c r="L12" i="86"/>
  <c r="K12" i="86"/>
  <c r="H12" i="86"/>
  <c r="G12" i="86"/>
  <c r="M9" i="86"/>
  <c r="I9" i="86"/>
  <c r="M8" i="86"/>
  <c r="M7" i="86"/>
  <c r="I12" i="86"/>
  <c r="L11" i="85"/>
  <c r="K11" i="85"/>
  <c r="H11" i="85"/>
  <c r="M8" i="85"/>
  <c r="M7" i="85"/>
  <c r="M11" i="85" s="1"/>
  <c r="G11" i="85"/>
  <c r="M11" i="94" l="1"/>
  <c r="M12" i="86"/>
  <c r="I12" i="99"/>
  <c r="M11" i="96"/>
  <c r="I11" i="93"/>
  <c r="M12" i="97"/>
  <c r="I12" i="97"/>
  <c r="I11" i="96"/>
  <c r="L14" i="95"/>
  <c r="M14" i="95"/>
  <c r="I14" i="95"/>
  <c r="I14" i="56"/>
  <c r="I11" i="94"/>
  <c r="M11" i="93"/>
  <c r="M14" i="56"/>
  <c r="I11" i="85"/>
  <c r="L10" i="84"/>
  <c r="K10" i="84"/>
  <c r="H10" i="84"/>
  <c r="G10" i="84"/>
  <c r="M7" i="84"/>
  <c r="M10" i="84" s="1"/>
  <c r="I10" i="84"/>
  <c r="L12" i="83"/>
  <c r="H12" i="83"/>
  <c r="M8" i="83"/>
  <c r="K12" i="83"/>
  <c r="G12" i="83"/>
  <c r="L10" i="82"/>
  <c r="K10" i="82"/>
  <c r="H10" i="82"/>
  <c r="G10" i="82"/>
  <c r="M7" i="82"/>
  <c r="M10" i="82"/>
  <c r="L11" i="81"/>
  <c r="K11" i="81"/>
  <c r="H11" i="81"/>
  <c r="M8" i="81"/>
  <c r="M7" i="81"/>
  <c r="G11" i="81"/>
  <c r="L11" i="80"/>
  <c r="K11" i="80"/>
  <c r="H11" i="80"/>
  <c r="G11" i="80"/>
  <c r="M8" i="80"/>
  <c r="M7" i="80"/>
  <c r="M11" i="80" s="1"/>
  <c r="L12" i="79"/>
  <c r="H12" i="79"/>
  <c r="K12" i="79"/>
  <c r="M8" i="79"/>
  <c r="M7" i="79"/>
  <c r="G12" i="79"/>
  <c r="E17" i="78"/>
  <c r="L11" i="78"/>
  <c r="H11" i="78"/>
  <c r="M8" i="78"/>
  <c r="K11" i="78"/>
  <c r="G11" i="78"/>
  <c r="L11" i="77"/>
  <c r="K11" i="77"/>
  <c r="H11" i="77"/>
  <c r="M7" i="77"/>
  <c r="M11" i="77" s="1"/>
  <c r="G11" i="77"/>
  <c r="L10" i="76"/>
  <c r="K10" i="76"/>
  <c r="H10" i="76"/>
  <c r="G10" i="76"/>
  <c r="M7" i="76"/>
  <c r="I10" i="76"/>
  <c r="M10" i="76"/>
  <c r="E28" i="75"/>
  <c r="H14" i="75"/>
  <c r="L14" i="75"/>
  <c r="I9" i="75"/>
  <c r="K14" i="75"/>
  <c r="M8" i="75"/>
  <c r="M7" i="75"/>
  <c r="G14" i="75"/>
  <c r="L11" i="74"/>
  <c r="K11" i="74"/>
  <c r="H11" i="74"/>
  <c r="G11" i="74"/>
  <c r="M7" i="74"/>
  <c r="M11" i="74" s="1"/>
  <c r="I11" i="74"/>
  <c r="L11" i="72"/>
  <c r="K11" i="72"/>
  <c r="H11" i="72"/>
  <c r="M7" i="72"/>
  <c r="M11" i="72" s="1"/>
  <c r="G11" i="72"/>
  <c r="M12" i="79" l="1"/>
  <c r="I10" i="82"/>
  <c r="I11" i="80"/>
  <c r="M11" i="81"/>
  <c r="I12" i="79"/>
  <c r="I12" i="83"/>
  <c r="M7" i="83"/>
  <c r="M12" i="83" s="1"/>
  <c r="I11" i="81"/>
  <c r="I11" i="78"/>
  <c r="M7" i="78"/>
  <c r="M11" i="78" s="1"/>
  <c r="I11" i="77"/>
  <c r="I14" i="75"/>
  <c r="M9" i="75"/>
  <c r="M14" i="75" s="1"/>
  <c r="I11" i="72"/>
  <c r="L10" i="70"/>
  <c r="K10" i="70"/>
  <c r="H10" i="70"/>
  <c r="G10" i="70"/>
  <c r="M7" i="70"/>
  <c r="M10" i="70" s="1"/>
  <c r="I10" i="70"/>
  <c r="L11" i="69"/>
  <c r="K11" i="69"/>
  <c r="H11" i="69"/>
  <c r="M8" i="69"/>
  <c r="M7" i="69"/>
  <c r="G11" i="69"/>
  <c r="K12" i="68"/>
  <c r="H12" i="68"/>
  <c r="G12" i="68"/>
  <c r="L12" i="68"/>
  <c r="M7" i="68"/>
  <c r="L11" i="67"/>
  <c r="K11" i="67"/>
  <c r="G11" i="67"/>
  <c r="M7" i="67"/>
  <c r="M11" i="67" s="1"/>
  <c r="M11" i="69" l="1"/>
  <c r="I12" i="68"/>
  <c r="I11" i="69"/>
  <c r="M12" i="68"/>
  <c r="I11" i="67"/>
  <c r="L11" i="66" l="1"/>
  <c r="K11" i="66"/>
  <c r="M8" i="66"/>
  <c r="M11" i="66" s="1"/>
  <c r="L11" i="64" l="1"/>
  <c r="K11" i="64"/>
  <c r="M8" i="64"/>
  <c r="M7" i="64"/>
  <c r="H7" i="64"/>
  <c r="G11" i="64"/>
  <c r="M11" i="64" l="1"/>
  <c r="L12" i="63"/>
  <c r="K12" i="63"/>
  <c r="M8" i="63"/>
  <c r="M7" i="63"/>
  <c r="M12" i="63" s="1"/>
  <c r="H7" i="63"/>
  <c r="M9" i="62"/>
  <c r="I9" i="62"/>
  <c r="L10" i="61"/>
  <c r="K10" i="61"/>
  <c r="G10" i="61"/>
  <c r="L13" i="62"/>
  <c r="M8" i="62"/>
  <c r="K13" i="62"/>
  <c r="H7" i="62"/>
  <c r="G13" i="62"/>
  <c r="I11" i="64" l="1"/>
  <c r="H11" i="64"/>
  <c r="G12" i="63"/>
  <c r="I12" i="63"/>
  <c r="M7" i="62"/>
  <c r="M13" i="62" s="1"/>
  <c r="H12" i="63" l="1"/>
  <c r="I13" i="62"/>
  <c r="H13" i="62"/>
  <c r="G12" i="57" l="1"/>
  <c r="L11" i="60"/>
  <c r="K11" i="60"/>
  <c r="H11" i="60"/>
  <c r="G11" i="60"/>
  <c r="M7" i="61"/>
  <c r="M10" i="61" s="1"/>
  <c r="M7" i="60" l="1"/>
  <c r="M11" i="60" s="1"/>
  <c r="I11" i="60"/>
  <c r="L13" i="59"/>
  <c r="G13" i="59"/>
  <c r="M7" i="59"/>
  <c r="H13" i="59"/>
  <c r="I13" i="59" l="1"/>
  <c r="K13" i="59"/>
  <c r="M13" i="59"/>
  <c r="L11" i="58" l="1"/>
  <c r="M8" i="58"/>
  <c r="M7" i="58"/>
  <c r="K11" i="58"/>
  <c r="H7" i="58"/>
  <c r="G11" i="58"/>
  <c r="E19" i="57"/>
  <c r="L12" i="57"/>
  <c r="M9" i="57"/>
  <c r="M7" i="57"/>
  <c r="H7" i="57"/>
  <c r="M11" i="58" l="1"/>
  <c r="M12" i="57"/>
  <c r="H8" i="58"/>
  <c r="K12" i="57"/>
  <c r="L11" i="5"/>
  <c r="H8" i="5"/>
  <c r="H9" i="5" s="1"/>
  <c r="H7" i="5"/>
  <c r="K11" i="5"/>
  <c r="G11" i="5"/>
  <c r="I12" i="57" l="1"/>
  <c r="H11" i="58"/>
  <c r="I11" i="58"/>
  <c r="H12" i="57"/>
  <c r="H11" i="5"/>
  <c r="M9" i="5"/>
  <c r="M8" i="5"/>
  <c r="M7" i="5"/>
  <c r="I9" i="5"/>
  <c r="M11" i="5" l="1"/>
  <c r="I11" i="5"/>
  <c r="I7" i="61"/>
  <c r="I10" i="61" s="1"/>
  <c r="H10" i="61"/>
</calcChain>
</file>

<file path=xl/sharedStrings.xml><?xml version="1.0" encoding="utf-8"?>
<sst xmlns="http://schemas.openxmlformats.org/spreadsheetml/2006/main" count="2309" uniqueCount="210">
  <si>
    <t>Academy for Positive Learning</t>
  </si>
  <si>
    <t>Program Title</t>
  </si>
  <si>
    <t>CFDA #</t>
  </si>
  <si>
    <t>Award #</t>
  </si>
  <si>
    <t>Awarding Federal Agency</t>
  </si>
  <si>
    <t>Project Period</t>
  </si>
  <si>
    <t>Amount</t>
  </si>
  <si>
    <t>U.S. Dept. of Education</t>
  </si>
  <si>
    <t>Title 1 Part A Education of Disadvantaged Children &amp; Youth</t>
  </si>
  <si>
    <t xml:space="preserve">IDEA, Part B, Entitlement </t>
  </si>
  <si>
    <t>Believers Academy</t>
  </si>
  <si>
    <t>Charter School of Boynton Beach</t>
  </si>
  <si>
    <t xml:space="preserve">DayStar Academy of Excellence </t>
  </si>
  <si>
    <t>Ed Venture</t>
  </si>
  <si>
    <t>Everglades Preparatory Academy</t>
  </si>
  <si>
    <t>Leadership Academy West</t>
  </si>
  <si>
    <t>Montessori Academy of Early Enrichment</t>
  </si>
  <si>
    <t>Potentials Charter School</t>
  </si>
  <si>
    <t>Riviera Beach Maritime Academy</t>
  </si>
  <si>
    <t>Boca Raton Charter School</t>
  </si>
  <si>
    <t>Bright Futures International</t>
  </si>
  <si>
    <t>G-Star School of the Arts for Motion Pictures and Television</t>
  </si>
  <si>
    <t>Palm Beach School for Autism</t>
  </si>
  <si>
    <t>Renaissance Learning Academy</t>
  </si>
  <si>
    <t>Renaissance Learning Center</t>
  </si>
  <si>
    <t>Imagine Schools - Chancellor Campus</t>
  </si>
  <si>
    <t>Fund</t>
  </si>
  <si>
    <t>Ben Gamla</t>
  </si>
  <si>
    <t>Gardens School of Technology Arts</t>
  </si>
  <si>
    <t>07/01/2012 - 06/30/2013</t>
  </si>
  <si>
    <t>500-2123A-3CB01</t>
  </si>
  <si>
    <t>500-2633A-3CB01</t>
  </si>
  <si>
    <t>FY 2013</t>
  </si>
  <si>
    <t>Tomorrow's Promise Community School</t>
  </si>
  <si>
    <t>Hope Learning Community of Riviera Beach (Noah's Ark International)</t>
  </si>
  <si>
    <t>Quantum High School</t>
  </si>
  <si>
    <t>Worthington High School</t>
  </si>
  <si>
    <t>500-2982A-2C030</t>
  </si>
  <si>
    <t>Renaissance Charter School at West Palm Beach</t>
  </si>
  <si>
    <t>My Choice Academy</t>
  </si>
  <si>
    <t>Carl D. Perkins - Career &amp; Technical Education, Secondary Sec. 131</t>
  </si>
  <si>
    <t>*'= No cost extension effective 08/01/2012</t>
  </si>
  <si>
    <t>Total</t>
  </si>
  <si>
    <t>Charter Schools</t>
  </si>
  <si>
    <t>08/01/2011 - 01/31/2013*</t>
  </si>
  <si>
    <t>Renaissance Charter School at Summit</t>
  </si>
  <si>
    <t>500-2982A-2C010</t>
  </si>
  <si>
    <t>Renaissance Charter School at Palms West</t>
  </si>
  <si>
    <t>500-2982A-2C009</t>
  </si>
  <si>
    <t>500-2982A-3C002</t>
  </si>
  <si>
    <t>12/06/2012 - 07/31/2014</t>
  </si>
  <si>
    <t>500-2982A-3C001</t>
  </si>
  <si>
    <t>12/07/2012 - 07/31/2014</t>
  </si>
  <si>
    <t>Revised</t>
  </si>
  <si>
    <t>Incr&lt;Decr&gt;</t>
  </si>
  <si>
    <t>South Tech Preparatory Academy</t>
  </si>
  <si>
    <t>500-2982A-3C003</t>
  </si>
  <si>
    <t>Original</t>
  </si>
  <si>
    <t>500-2982A-2C014</t>
  </si>
  <si>
    <t>Award</t>
  </si>
  <si>
    <t>Cash</t>
  </si>
  <si>
    <t>Payments</t>
  </si>
  <si>
    <t>On-Behalf</t>
  </si>
  <si>
    <t>*</t>
  </si>
  <si>
    <t>**</t>
  </si>
  <si>
    <t>Paid To</t>
  </si>
  <si>
    <t>On-Behalf Amount</t>
  </si>
  <si>
    <t>Date Paid</t>
  </si>
  <si>
    <t>Description</t>
  </si>
  <si>
    <t>the applicable Federal Award</t>
  </si>
  <si>
    <t>TOTAL</t>
  </si>
  <si>
    <r>
      <rPr>
        <b/>
        <sz val="11"/>
        <color rgb="FFFF0000"/>
        <rFont val="Times New Roman"/>
        <family val="1"/>
      </rPr>
      <t>*</t>
    </r>
    <r>
      <rPr>
        <b/>
        <sz val="11"/>
        <color theme="1"/>
        <rFont val="Times New Roman"/>
        <family val="1"/>
      </rPr>
      <t xml:space="preserve">  On-Behalf Payment Detail:</t>
    </r>
  </si>
  <si>
    <r>
      <rPr>
        <sz val="11"/>
        <color rgb="FF00B0F0"/>
        <rFont val="Times New Roman"/>
        <family val="1"/>
      </rPr>
      <t>**</t>
    </r>
    <r>
      <rPr>
        <sz val="11"/>
        <color theme="1"/>
        <rFont val="Times New Roman"/>
        <family val="1"/>
      </rPr>
      <t xml:space="preserve"> Required to be recorded as Revenue and Expenditure under </t>
    </r>
  </si>
  <si>
    <t>Franklin Academy School "B"</t>
  </si>
  <si>
    <t>Improving Teacher Quality State Grants (iTeach Geometry Partnership)</t>
  </si>
  <si>
    <t>Gulfstream Goodwill to Life Academy</t>
  </si>
  <si>
    <t>Inlet Grove Community High School</t>
  </si>
  <si>
    <t>84.048</t>
  </si>
  <si>
    <t>JFK Medical Center Charter School</t>
  </si>
  <si>
    <t>Joseph Littles~Nguza Saba</t>
  </si>
  <si>
    <t>Lakeside Academy</t>
  </si>
  <si>
    <t>Mavericks High School at Palm Springs</t>
  </si>
  <si>
    <t>Palm Beach Maritime Academy</t>
  </si>
  <si>
    <t>Seagull Academy for Independent Living (SAIL)</t>
  </si>
  <si>
    <t>South Tech Charter Academy</t>
  </si>
  <si>
    <t>Toussaint L'Ouverture High School</t>
  </si>
  <si>
    <t>Western Academy Charter School</t>
  </si>
  <si>
    <t>Department #</t>
  </si>
  <si>
    <t>Department # 0664</t>
  </si>
  <si>
    <t>Department # 3400</t>
  </si>
  <si>
    <t>Department # 3941</t>
  </si>
  <si>
    <t>Department # 0054</t>
  </si>
  <si>
    <t>Department # 3385</t>
  </si>
  <si>
    <t>Department # 3392</t>
  </si>
  <si>
    <t>Department # 0642</t>
  </si>
  <si>
    <t>Department # 2521</t>
  </si>
  <si>
    <t>Department # 3398</t>
  </si>
  <si>
    <t>Department # 4020</t>
  </si>
  <si>
    <t>Department # 3396</t>
  </si>
  <si>
    <t>Department # 3961</t>
  </si>
  <si>
    <t>Department # 3382</t>
  </si>
  <si>
    <t>Department # 3345</t>
  </si>
  <si>
    <t>Department # 3384</t>
  </si>
  <si>
    <t>Department # 3381</t>
  </si>
  <si>
    <t>Department # 1461</t>
  </si>
  <si>
    <t>Department # 3395</t>
  </si>
  <si>
    <t>Department # 2661</t>
  </si>
  <si>
    <t>Department # 2641</t>
  </si>
  <si>
    <t>Department # 3347</t>
  </si>
  <si>
    <t>Department # 3971</t>
  </si>
  <si>
    <t>Department # 3394</t>
  </si>
  <si>
    <t>Department # 3411</t>
  </si>
  <si>
    <t>Department # 2801</t>
  </si>
  <si>
    <t>Department # 2941</t>
  </si>
  <si>
    <t>Department # 2531</t>
  </si>
  <si>
    <t>Department # 3401</t>
  </si>
  <si>
    <t>Department # 4000</t>
  </si>
  <si>
    <t>Department # 4002</t>
  </si>
  <si>
    <t>Department # 3431</t>
  </si>
  <si>
    <t>Department # 3083</t>
  </si>
  <si>
    <t>Department # 2791</t>
  </si>
  <si>
    <t>Department # 3443</t>
  </si>
  <si>
    <t>Department # 3391</t>
  </si>
  <si>
    <t>Department # 1571</t>
  </si>
  <si>
    <t>Department # 3441</t>
  </si>
  <si>
    <t>Department # 3344</t>
  </si>
  <si>
    <t>Department # 3386</t>
  </si>
  <si>
    <t>Department # 2911</t>
  </si>
  <si>
    <t>Department # 3421</t>
  </si>
  <si>
    <t>Reimbursements</t>
  </si>
  <si>
    <t>July 1, 2012 - June 30, 2013</t>
  </si>
  <si>
    <t xml:space="preserve">Glades Academy Elementary </t>
  </si>
  <si>
    <t>07/01/2013 - 06/30/2014</t>
  </si>
  <si>
    <t>500-2634A-4CB01</t>
  </si>
  <si>
    <t>FY 2014</t>
  </si>
  <si>
    <t>500-2124A-4CB01</t>
  </si>
  <si>
    <t>State Fiscal Stabilization Fund (SFSF) - Race-to-the-Top Incentive Grants, Recovery Act</t>
  </si>
  <si>
    <t>500-RG311-3C401</t>
  </si>
  <si>
    <t>04/29/2013 - 06/30/2014</t>
  </si>
  <si>
    <t>July 1, 2013 - June 30, 2014</t>
  </si>
  <si>
    <t>500-1614A-4CS01</t>
  </si>
  <si>
    <t>Title I Grants to Local Educational Agencies</t>
  </si>
  <si>
    <t>500-2263A-3CS01</t>
  </si>
  <si>
    <t>01/01/2013 - 12/31/2013</t>
  </si>
  <si>
    <t>500-2254A-4C002</t>
  </si>
  <si>
    <t>500-2254A-4C001</t>
  </si>
  <si>
    <t>07/01/2014 - 06/30/2014</t>
  </si>
  <si>
    <t>Somerset Academy Canyons High School</t>
  </si>
  <si>
    <t>Department # 4013</t>
  </si>
  <si>
    <t>M.A.R.C.H. through Time</t>
  </si>
  <si>
    <t>U215X100375</t>
  </si>
  <si>
    <t>04/01/2013 - 07/31/2014</t>
  </si>
  <si>
    <t>500-2982A-2C031</t>
  </si>
  <si>
    <t>05/14/2012 - 11/13/2013</t>
  </si>
  <si>
    <t>Learning Path Academy</t>
  </si>
  <si>
    <t>Department # 4037</t>
  </si>
  <si>
    <t>500-2982A-3C005</t>
  </si>
  <si>
    <t>Department # 4010</t>
  </si>
  <si>
    <t>Belle Glade Excel</t>
  </si>
  <si>
    <t>Somerset Academy Boca East</t>
  </si>
  <si>
    <t>Department # 3413</t>
  </si>
  <si>
    <t>Somerset Academy Boca Middle School</t>
  </si>
  <si>
    <t>Department # 4041</t>
  </si>
  <si>
    <t>Somerset Academy Canyons Middle School</t>
  </si>
  <si>
    <t>Department # 4012</t>
  </si>
  <si>
    <t>09/01/2010 - 08/31/2014</t>
  </si>
  <si>
    <t xml:space="preserve">Carl D. Perkins, Secondary, Section 131           </t>
  </si>
  <si>
    <t>Improving Teacher Quality State Grants (iTeach United States History Partnership)</t>
  </si>
  <si>
    <t>Dell Computer K-12 Education Inc.</t>
  </si>
  <si>
    <t>500-2982A-2C020</t>
  </si>
  <si>
    <t>05/14/2012 - 05/13/2014</t>
  </si>
  <si>
    <t>500-2982A-3C007</t>
  </si>
  <si>
    <t>500-2982A-2C002</t>
  </si>
  <si>
    <t>08/01/2011 - 07/31/2013</t>
  </si>
  <si>
    <t>500-2982A-2C001</t>
  </si>
  <si>
    <t>08/01/2011- 07/31/2013</t>
  </si>
  <si>
    <t>October, 2013</t>
  </si>
  <si>
    <t>Renaissance Charter School at Gardens West</t>
  </si>
  <si>
    <t>Department # 4001</t>
  </si>
  <si>
    <t>500-2982A-2C018</t>
  </si>
  <si>
    <t>05/14/2012 - 07/31/2013</t>
  </si>
  <si>
    <t>Expenditure under the applicable Federal Award</t>
  </si>
  <si>
    <r>
      <rPr>
        <sz val="10.5"/>
        <color rgb="FF00B0F0"/>
        <rFont val="Times New Roman"/>
        <family val="1"/>
      </rPr>
      <t>**</t>
    </r>
    <r>
      <rPr>
        <sz val="10.5"/>
        <rFont val="Times New Roman"/>
        <family val="1"/>
      </rPr>
      <t xml:space="preserve"> Required to be recorded as Revenue and </t>
    </r>
  </si>
  <si>
    <r>
      <t>**</t>
    </r>
    <r>
      <rPr>
        <sz val="10.5"/>
        <rFont val="Times New Roman"/>
        <family val="1"/>
      </rPr>
      <t xml:space="preserve"> Required to be recorded as Revenue and </t>
    </r>
  </si>
  <si>
    <t>Milo Food Service Equipment, Inc.</t>
  </si>
  <si>
    <t>November, 2013</t>
  </si>
  <si>
    <t>Equipment needed for Culinary Arts Academy at South Tech Academy - Heavy Duty 65 lb Fryer</t>
  </si>
  <si>
    <t>U350A110032</t>
  </si>
  <si>
    <t>10/01/2011 - 09/30/2016</t>
  </si>
  <si>
    <t>The "I-TEACH" ITT Project</t>
  </si>
  <si>
    <t>Herff Jones</t>
  </si>
  <si>
    <t>Sorg covers</t>
  </si>
  <si>
    <t>Pocket Nurse</t>
  </si>
  <si>
    <t xml:space="preserve">Equipment needed for students in the Medical Science  Academy at South Tech </t>
  </si>
  <si>
    <t xml:space="preserve">Laptops needed to enhance technology objectives in the Culinary Arts Program. </t>
  </si>
  <si>
    <t>Department # 4040</t>
  </si>
  <si>
    <t>December, 2013</t>
  </si>
  <si>
    <t>February, 2014</t>
  </si>
  <si>
    <t>District Bandwidth Support</t>
  </si>
  <si>
    <t>500-90030-4S001</t>
  </si>
  <si>
    <t>10/01/2013 - 06/30/2014</t>
  </si>
  <si>
    <t>FLDOE</t>
  </si>
  <si>
    <t>L.I. 102A</t>
  </si>
  <si>
    <t>500-2982A-2C017</t>
  </si>
  <si>
    <t>Title I School Improvement Initiative</t>
  </si>
  <si>
    <t>500-2264A-4CS01</t>
  </si>
  <si>
    <t>01/01/2014 - 12/31/2014</t>
  </si>
  <si>
    <t>500-2244B-4CT01</t>
  </si>
  <si>
    <t>Title II Part A, Teacher &amp; Principal Training</t>
  </si>
  <si>
    <t>Florida Virtual Academy @ PBC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</si>
</sst>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mm/dd/yy;@"/>
    <numFmt numFmtId="166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rgb="FF00B0F0"/>
      <name val="Calibri"/>
      <family val="2"/>
      <scheme val="minor"/>
    </font>
    <font>
      <sz val="11"/>
      <color rgb="FF00B0F0"/>
      <name val="Times New Roman"/>
      <family val="1"/>
    </font>
    <font>
      <sz val="11"/>
      <color rgb="FFFF0000"/>
      <name val="Times New Roman"/>
      <family val="1"/>
    </font>
    <font>
      <b/>
      <sz val="11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1"/>
      <color rgb="FF3D3D3D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.5"/>
      <name val="Times New Roman"/>
      <family val="1"/>
    </font>
    <font>
      <sz val="10.5"/>
      <color theme="1"/>
      <name val="Times New Roman"/>
      <family val="1"/>
    </font>
    <font>
      <sz val="10.5"/>
      <color rgb="FF00B0F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12"/>
    <xf numFmtId="9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12"/>
    <xf numFmtId="9" fontId="18" fillId="0" borderId="0" applyFont="0" applyFill="0" applyBorder="0" applyAlignment="0" applyProtection="0"/>
  </cellStyleXfs>
  <cellXfs count="2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4" fontId="4" fillId="0" borderId="0" xfId="1" applyFont="1"/>
    <xf numFmtId="0" fontId="4" fillId="0" borderId="0" xfId="0" applyFont="1" applyAlignment="1">
      <alignment horizontal="left"/>
    </xf>
    <xf numFmtId="0" fontId="5" fillId="0" borderId="0" xfId="0" applyFont="1" applyBorder="1"/>
    <xf numFmtId="164" fontId="4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0" xfId="0" applyFont="1"/>
    <xf numFmtId="44" fontId="4" fillId="0" borderId="0" xfId="0" applyNumberFormat="1" applyFont="1"/>
    <xf numFmtId="44" fontId="2" fillId="0" borderId="2" xfId="0" applyNumberFormat="1" applyFont="1" applyBorder="1"/>
    <xf numFmtId="0" fontId="6" fillId="0" borderId="0" xfId="0" applyFont="1" applyAlignment="1">
      <alignment horizontal="right"/>
    </xf>
    <xf numFmtId="44" fontId="4" fillId="0" borderId="0" xfId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1" xfId="0" applyFont="1" applyBorder="1"/>
    <xf numFmtId="0" fontId="0" fillId="0" borderId="1" xfId="0" applyFont="1" applyBorder="1"/>
    <xf numFmtId="0" fontId="0" fillId="0" borderId="4" xfId="0" applyFont="1" applyBorder="1"/>
    <xf numFmtId="0" fontId="0" fillId="0" borderId="3" xfId="0" applyFont="1" applyBorder="1"/>
    <xf numFmtId="0" fontId="4" fillId="0" borderId="0" xfId="0" applyFont="1" applyFill="1" applyBorder="1"/>
    <xf numFmtId="0" fontId="8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Fill="1"/>
    <xf numFmtId="44" fontId="4" fillId="0" borderId="0" xfId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6" fillId="0" borderId="1" xfId="0" applyFont="1" applyFill="1" applyBorder="1"/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/>
    <xf numFmtId="0" fontId="0" fillId="0" borderId="0" xfId="0" applyBorder="1"/>
    <xf numFmtId="0" fontId="0" fillId="0" borderId="0" xfId="0" applyFont="1" applyBorder="1"/>
    <xf numFmtId="0" fontId="6" fillId="0" borderId="0" xfId="0" applyFont="1" applyFill="1" applyBorder="1" applyAlignment="1">
      <alignment horizontal="right"/>
    </xf>
    <xf numFmtId="0" fontId="9" fillId="0" borderId="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44" fontId="0" fillId="0" borderId="0" xfId="0" applyNumberFormat="1" applyFont="1"/>
    <xf numFmtId="44" fontId="4" fillId="0" borderId="0" xfId="1" applyNumberFormat="1" applyFont="1"/>
    <xf numFmtId="44" fontId="4" fillId="0" borderId="0" xfId="0" applyNumberFormat="1" applyFont="1" applyBorder="1"/>
    <xf numFmtId="44" fontId="4" fillId="0" borderId="5" xfId="0" applyNumberFormat="1" applyFont="1" applyBorder="1"/>
    <xf numFmtId="44" fontId="4" fillId="0" borderId="4" xfId="0" applyNumberFormat="1" applyFont="1" applyBorder="1"/>
    <xf numFmtId="44" fontId="4" fillId="0" borderId="1" xfId="1" applyNumberFormat="1" applyFont="1" applyBorder="1"/>
    <xf numFmtId="44" fontId="0" fillId="0" borderId="1" xfId="0" applyNumberFormat="1" applyFont="1" applyBorder="1"/>
    <xf numFmtId="44" fontId="4" fillId="0" borderId="1" xfId="0" applyNumberFormat="1" applyFont="1" applyBorder="1"/>
    <xf numFmtId="44" fontId="4" fillId="0" borderId="3" xfId="0" applyNumberFormat="1" applyFont="1" applyBorder="1"/>
    <xf numFmtId="44" fontId="0" fillId="0" borderId="4" xfId="0" applyNumberFormat="1" applyFont="1" applyBorder="1"/>
    <xf numFmtId="0" fontId="4" fillId="0" borderId="4" xfId="0" applyFont="1" applyBorder="1"/>
    <xf numFmtId="0" fontId="4" fillId="0" borderId="3" xfId="0" applyFont="1" applyBorder="1"/>
    <xf numFmtId="0" fontId="0" fillId="0" borderId="1" xfId="0" applyBorder="1"/>
    <xf numFmtId="0" fontId="4" fillId="0" borderId="0" xfId="0" applyFont="1" applyBorder="1"/>
    <xf numFmtId="0" fontId="6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5" xfId="0" applyFont="1" applyBorder="1"/>
    <xf numFmtId="0" fontId="4" fillId="0" borderId="0" xfId="0" applyFont="1" applyAlignment="1">
      <alignment horizontal="left"/>
    </xf>
    <xf numFmtId="44" fontId="4" fillId="0" borderId="0" xfId="1" applyFont="1" applyFill="1"/>
    <xf numFmtId="44" fontId="4" fillId="0" borderId="1" xfId="1" applyFont="1" applyBorder="1"/>
    <xf numFmtId="165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/>
    <xf numFmtId="0" fontId="4" fillId="0" borderId="0" xfId="0" applyFont="1" applyFill="1" applyAlignment="1">
      <alignment horizontal="left" vertical="center" wrapText="1"/>
    </xf>
    <xf numFmtId="44" fontId="4" fillId="0" borderId="0" xfId="1" applyFont="1" applyFill="1" applyAlignment="1"/>
    <xf numFmtId="165" fontId="4" fillId="0" borderId="0" xfId="0" applyNumberFormat="1" applyFont="1" applyFill="1" applyAlignment="1"/>
    <xf numFmtId="49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right"/>
    </xf>
    <xf numFmtId="0" fontId="7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44" fontId="2" fillId="0" borderId="0" xfId="0" applyNumberFormat="1" applyFont="1" applyBorder="1"/>
    <xf numFmtId="0" fontId="4" fillId="0" borderId="0" xfId="0" applyFont="1" applyBorder="1" applyAlignment="1">
      <alignment horizontal="center"/>
    </xf>
    <xf numFmtId="44" fontId="4" fillId="0" borderId="0" xfId="0" applyNumberFormat="1" applyFont="1" applyBorder="1" applyAlignment="1">
      <alignment horizontal="center"/>
    </xf>
    <xf numFmtId="44" fontId="8" fillId="0" borderId="0" xfId="0" applyNumberFormat="1" applyFont="1" applyFill="1" applyBorder="1" applyAlignment="1">
      <alignment horizontal="center"/>
    </xf>
    <xf numFmtId="44" fontId="6" fillId="0" borderId="2" xfId="1" applyFont="1" applyFill="1" applyBorder="1" applyAlignment="1"/>
    <xf numFmtId="0" fontId="14" fillId="0" borderId="0" xfId="0" applyFont="1"/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4" fontId="4" fillId="0" borderId="0" xfId="0" applyNumberFormat="1" applyFont="1" applyAlignment="1">
      <alignment horizontal="center" wrapText="1"/>
    </xf>
    <xf numFmtId="44" fontId="4" fillId="0" borderId="0" xfId="0" applyNumberFormat="1" applyFont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1" applyNumberFormat="1" applyFont="1" applyBorder="1" applyAlignment="1">
      <alignment horizontal="left"/>
    </xf>
    <xf numFmtId="44" fontId="4" fillId="0" borderId="0" xfId="1" applyNumberFormat="1" applyFont="1" applyBorder="1" applyAlignment="1">
      <alignment horizontal="left"/>
    </xf>
    <xf numFmtId="44" fontId="0" fillId="0" borderId="0" xfId="0" applyNumberFormat="1" applyFont="1" applyBorder="1"/>
    <xf numFmtId="0" fontId="4" fillId="0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44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/>
    <xf numFmtId="0" fontId="20" fillId="0" borderId="1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44" fontId="20" fillId="0" borderId="0" xfId="0" applyNumberFormat="1" applyFont="1" applyAlignment="1">
      <alignment horizontal="left"/>
    </xf>
    <xf numFmtId="44" fontId="20" fillId="0" borderId="4" xfId="0" applyNumberFormat="1" applyFont="1" applyBorder="1" applyAlignment="1">
      <alignment horizontal="left"/>
    </xf>
    <xf numFmtId="0" fontId="21" fillId="0" borderId="1" xfId="0" applyFont="1" applyBorder="1"/>
    <xf numFmtId="0" fontId="21" fillId="0" borderId="3" xfId="0" applyFont="1" applyBorder="1"/>
    <xf numFmtId="44" fontId="20" fillId="0" borderId="0" xfId="0" applyNumberFormat="1" applyFont="1" applyBorder="1" applyAlignment="1">
      <alignment horizontal="left"/>
    </xf>
    <xf numFmtId="0" fontId="21" fillId="0" borderId="0" xfId="0" applyFont="1" applyBorder="1"/>
    <xf numFmtId="0" fontId="22" fillId="0" borderId="1" xfId="0" applyFont="1" applyBorder="1" applyAlignment="1">
      <alignment horizontal="left"/>
    </xf>
    <xf numFmtId="0" fontId="22" fillId="0" borderId="0" xfId="0" applyFont="1"/>
    <xf numFmtId="0" fontId="22" fillId="0" borderId="0" xfId="0" applyFont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13" fillId="0" borderId="0" xfId="0" applyFont="1" applyBorder="1" applyAlignment="1">
      <alignment horizontal="center"/>
    </xf>
    <xf numFmtId="44" fontId="4" fillId="0" borderId="0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Border="1" applyAlignment="1"/>
    <xf numFmtId="0" fontId="4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0" fillId="0" borderId="4" xfId="0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49" fontId="4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5" fontId="4" fillId="0" borderId="13" xfId="0" applyNumberFormat="1" applyFont="1" applyFill="1" applyBorder="1" applyAlignment="1">
      <alignment horizontal="right"/>
    </xf>
    <xf numFmtId="44" fontId="4" fillId="0" borderId="4" xfId="1" applyFont="1" applyFill="1" applyBorder="1"/>
    <xf numFmtId="44" fontId="4" fillId="0" borderId="3" xfId="1" applyFont="1" applyFill="1" applyBorder="1"/>
    <xf numFmtId="44" fontId="4" fillId="0" borderId="13" xfId="1" applyFont="1" applyFill="1" applyBorder="1"/>
    <xf numFmtId="0" fontId="4" fillId="0" borderId="4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left"/>
    </xf>
    <xf numFmtId="49" fontId="4" fillId="0" borderId="4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left"/>
    </xf>
    <xf numFmtId="0" fontId="4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/>
    <xf numFmtId="0" fontId="4" fillId="0" borderId="15" xfId="0" applyFont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44" fontId="4" fillId="0" borderId="15" xfId="1" applyFont="1" applyFill="1" applyBorder="1" applyAlignment="1"/>
    <xf numFmtId="165" fontId="4" fillId="0" borderId="15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4" fillId="0" borderId="8" xfId="0" applyFont="1" applyBorder="1"/>
    <xf numFmtId="49" fontId="4" fillId="0" borderId="15" xfId="0" applyNumberFormat="1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44" fontId="4" fillId="0" borderId="0" xfId="0" applyNumberFormat="1" applyFont="1"/>
    <xf numFmtId="44" fontId="4" fillId="0" borderId="0" xfId="1" applyNumberFormat="1" applyFont="1" applyFill="1"/>
    <xf numFmtId="44" fontId="4" fillId="0" borderId="0" xfId="0" applyNumberFormat="1" applyFont="1"/>
    <xf numFmtId="44" fontId="4" fillId="0" borderId="0" xfId="1" applyNumberFormat="1" applyFont="1" applyFill="1"/>
    <xf numFmtId="44" fontId="4" fillId="0" borderId="0" xfId="0" applyNumberFormat="1" applyFont="1"/>
    <xf numFmtId="44" fontId="4" fillId="0" borderId="0" xfId="1" applyNumberFormat="1" applyFont="1" applyFill="1"/>
    <xf numFmtId="44" fontId="4" fillId="0" borderId="0" xfId="0" applyNumberFormat="1" applyFont="1" applyBorder="1"/>
    <xf numFmtId="44" fontId="4" fillId="0" borderId="0" xfId="1" applyFont="1" applyFill="1"/>
    <xf numFmtId="44" fontId="4" fillId="0" borderId="0" xfId="1" applyFont="1"/>
    <xf numFmtId="44" fontId="4" fillId="0" borderId="0" xfId="0" applyNumberFormat="1" applyFont="1"/>
    <xf numFmtId="44" fontId="4" fillId="0" borderId="0" xfId="0" applyNumberFormat="1" applyFont="1" applyBorder="1"/>
    <xf numFmtId="44" fontId="4" fillId="0" borderId="4" xfId="0" applyNumberFormat="1" applyFont="1" applyBorder="1"/>
    <xf numFmtId="44" fontId="4" fillId="0" borderId="0" xfId="1" applyFont="1" applyFill="1"/>
    <xf numFmtId="44" fontId="4" fillId="0" borderId="0" xfId="0" applyNumberFormat="1" applyFont="1" applyBorder="1" applyAlignment="1">
      <alignment horizontal="center"/>
    </xf>
    <xf numFmtId="44" fontId="4" fillId="0" borderId="0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0" fontId="11" fillId="0" borderId="8" xfId="0" applyFont="1" applyBorder="1" applyAlignment="1">
      <alignment horizontal="center"/>
    </xf>
    <xf numFmtId="44" fontId="13" fillId="0" borderId="0" xfId="0" applyNumberFormat="1" applyFont="1" applyBorder="1" applyAlignment="1">
      <alignment horizontal="center"/>
    </xf>
    <xf numFmtId="44" fontId="13" fillId="0" borderId="0" xfId="0" applyNumberFormat="1" applyFont="1" applyBorder="1"/>
    <xf numFmtId="44" fontId="13" fillId="0" borderId="1" xfId="0" applyNumberFormat="1" applyFont="1" applyBorder="1"/>
    <xf numFmtId="44" fontId="13" fillId="0" borderId="0" xfId="0" applyNumberFormat="1" applyFont="1"/>
    <xf numFmtId="44" fontId="8" fillId="0" borderId="5" xfId="0" applyNumberFormat="1" applyFont="1" applyBorder="1" applyAlignment="1">
      <alignment horizontal="center"/>
    </xf>
    <xf numFmtId="40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4" fillId="0" borderId="0" xfId="0" applyNumberFormat="1" applyFont="1"/>
    <xf numFmtId="44" fontId="4" fillId="0" borderId="0" xfId="1" applyFont="1" applyBorder="1" applyAlignment="1">
      <alignment horizontal="center"/>
    </xf>
    <xf numFmtId="44" fontId="4" fillId="0" borderId="0" xfId="1" applyNumberFormat="1" applyFont="1" applyBorder="1"/>
    <xf numFmtId="0" fontId="6" fillId="0" borderId="1" xfId="0" applyFont="1" applyBorder="1" applyAlignment="1">
      <alignment horizontal="center"/>
    </xf>
    <xf numFmtId="166" fontId="4" fillId="0" borderId="4" xfId="0" applyNumberFormat="1" applyFont="1" applyBorder="1"/>
    <xf numFmtId="44" fontId="9" fillId="0" borderId="0" xfId="0" applyNumberFormat="1" applyFont="1"/>
    <xf numFmtId="44" fontId="8" fillId="0" borderId="0" xfId="0" applyNumberFormat="1" applyFont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9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4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165" fontId="4" fillId="0" borderId="5" xfId="0" applyNumberFormat="1" applyFont="1" applyFill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44" fontId="4" fillId="0" borderId="5" xfId="1" applyFont="1" applyFill="1" applyBorder="1" applyAlignment="1">
      <alignment horizontal="center"/>
    </xf>
    <xf numFmtId="44" fontId="4" fillId="0" borderId="4" xfId="1" applyFont="1" applyFill="1" applyBorder="1" applyAlignment="1">
      <alignment horizontal="center"/>
    </xf>
    <xf numFmtId="44" fontId="4" fillId="0" borderId="3" xfId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49" fontId="4" fillId="0" borderId="6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4" fontId="4" fillId="0" borderId="5" xfId="0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44" fontId="4" fillId="0" borderId="4" xfId="1" applyFont="1" applyFill="1" applyBorder="1" applyAlignment="1"/>
    <xf numFmtId="44" fontId="4" fillId="0" borderId="3" xfId="1" applyFont="1" applyFill="1" applyBorder="1" applyAlignment="1"/>
    <xf numFmtId="0" fontId="4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44" fontId="4" fillId="0" borderId="5" xfId="1" applyFont="1" applyFill="1" applyBorder="1" applyAlignment="1"/>
    <xf numFmtId="0" fontId="6" fillId="0" borderId="1" xfId="0" applyFont="1" applyBorder="1" applyAlignment="1">
      <alignment horizontal="center"/>
    </xf>
    <xf numFmtId="0" fontId="4" fillId="0" borderId="9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1">
    <cellStyle name="Comma 2" xfId="3"/>
    <cellStyle name="Comma 2 2" xfId="7"/>
    <cellStyle name="Currency" xfId="1" builtinId="4"/>
    <cellStyle name="Currency 2" xfId="4"/>
    <cellStyle name="Currency 2 2" xfId="8"/>
    <cellStyle name="n_nvision1" xfId="5"/>
    <cellStyle name="n_nvision1 2" xfId="9"/>
    <cellStyle name="Normal" xfId="0" builtinId="0"/>
    <cellStyle name="Normal 2" xfId="2"/>
    <cellStyle name="Percent 2" xfId="6"/>
    <cellStyle name="Percent 2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F1" zoomScaleNormal="100" workbookViewId="0">
      <selection activeCell="H16" sqref="H16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2.28515625" customWidth="1"/>
  </cols>
  <sheetData>
    <row r="1" spans="1:16" ht="15.75" x14ac:dyDescent="0.25">
      <c r="B1" s="2"/>
      <c r="C1" s="3"/>
      <c r="D1" s="3"/>
      <c r="E1" s="3"/>
      <c r="F1" s="3"/>
      <c r="G1" s="3"/>
      <c r="H1" s="3"/>
      <c r="I1" s="3"/>
      <c r="J1" s="3"/>
      <c r="K1" s="186" t="s">
        <v>130</v>
      </c>
      <c r="L1" s="186"/>
      <c r="M1" s="186"/>
      <c r="N1" s="3"/>
    </row>
    <row r="2" spans="1:16" x14ac:dyDescent="0.25">
      <c r="B2" s="15" t="s">
        <v>32</v>
      </c>
      <c r="C2" s="3"/>
      <c r="D2" s="3"/>
      <c r="E2" s="3"/>
      <c r="F2" s="3"/>
      <c r="G2" s="3"/>
      <c r="H2" s="3"/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15" t="s">
        <v>87</v>
      </c>
      <c r="C3" s="15"/>
      <c r="D3" s="15"/>
      <c r="E3" s="3"/>
      <c r="F3" s="3"/>
      <c r="G3" s="3"/>
      <c r="H3" s="3"/>
      <c r="I3" s="3"/>
      <c r="J3" s="59"/>
      <c r="K3" s="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30</v>
      </c>
      <c r="E7" s="3" t="s">
        <v>7</v>
      </c>
      <c r="F7" s="3" t="s">
        <v>29</v>
      </c>
      <c r="G7" s="82">
        <v>9025.09</v>
      </c>
      <c r="H7" s="82">
        <v>0</v>
      </c>
      <c r="I7" s="48">
        <f>G7+H7</f>
        <v>9025.09</v>
      </c>
      <c r="J7" s="81"/>
      <c r="K7" s="83">
        <v>8542.4500000000007</v>
      </c>
      <c r="L7" s="48">
        <v>0</v>
      </c>
      <c r="M7" s="50">
        <f>K7+L7</f>
        <v>8542.4500000000007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31</v>
      </c>
      <c r="E8" s="3" t="s">
        <v>7</v>
      </c>
      <c r="F8" s="3" t="s">
        <v>29</v>
      </c>
      <c r="G8" s="82">
        <v>20373.89</v>
      </c>
      <c r="H8" s="82">
        <v>0</v>
      </c>
      <c r="I8" s="48">
        <f>G8+H8</f>
        <v>20373.89</v>
      </c>
      <c r="J8" s="81"/>
      <c r="K8" s="83">
        <v>20373.89</v>
      </c>
      <c r="L8" s="48">
        <v>0</v>
      </c>
      <c r="M8" s="50">
        <f>K8+L8</f>
        <v>20373.89</v>
      </c>
      <c r="N8" s="3"/>
      <c r="O8" s="9"/>
      <c r="P8" s="9"/>
    </row>
    <row r="9" spans="1:16" ht="14.45" x14ac:dyDescent="0.3">
      <c r="B9" s="3"/>
      <c r="C9" s="65"/>
      <c r="D9" s="3"/>
      <c r="E9" s="3"/>
      <c r="F9" s="3"/>
      <c r="G9" s="82"/>
      <c r="H9" s="82"/>
      <c r="I9" s="48"/>
      <c r="J9" s="81"/>
      <c r="K9" s="83"/>
      <c r="L9" s="48"/>
      <c r="M9" s="50"/>
      <c r="N9" s="3"/>
      <c r="O9" s="9"/>
      <c r="P9" s="9"/>
    </row>
    <row r="10" spans="1:16" ht="14.45" x14ac:dyDescent="0.3">
      <c r="B10" s="3" t="s">
        <v>43</v>
      </c>
      <c r="C10" s="7">
        <v>84.281999999999996</v>
      </c>
      <c r="D10" s="3" t="s">
        <v>37</v>
      </c>
      <c r="E10" s="3" t="s">
        <v>7</v>
      </c>
      <c r="F10" s="3" t="s">
        <v>44</v>
      </c>
      <c r="G10" s="82">
        <v>25000</v>
      </c>
      <c r="H10" s="82">
        <v>0</v>
      </c>
      <c r="I10" s="48">
        <f>G10+H10</f>
        <v>25000</v>
      </c>
      <c r="J10" s="81"/>
      <c r="K10" s="83">
        <v>25000</v>
      </c>
      <c r="L10" s="48">
        <v>0</v>
      </c>
      <c r="M10" s="50">
        <f>K10+L10</f>
        <v>25000</v>
      </c>
      <c r="N10" s="3"/>
      <c r="O10" s="9"/>
      <c r="P10" s="9"/>
    </row>
    <row r="11" spans="1:16" ht="14.45" x14ac:dyDescent="0.3">
      <c r="B11" s="3" t="s">
        <v>43</v>
      </c>
      <c r="C11" s="65">
        <v>84.281999999999996</v>
      </c>
      <c r="D11" s="3" t="s">
        <v>51</v>
      </c>
      <c r="E11" s="3" t="s">
        <v>7</v>
      </c>
      <c r="F11" s="3" t="s">
        <v>52</v>
      </c>
      <c r="G11" s="82">
        <v>225000</v>
      </c>
      <c r="H11" s="82">
        <v>0</v>
      </c>
      <c r="I11" s="48">
        <f>G11+H11</f>
        <v>225000</v>
      </c>
      <c r="J11" s="81"/>
      <c r="K11" s="83">
        <v>0</v>
      </c>
      <c r="L11" s="48">
        <v>0</v>
      </c>
      <c r="M11" s="50">
        <f>K11+L11</f>
        <v>0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53"/>
      <c r="H12" s="53"/>
      <c r="I12" s="53"/>
      <c r="J12" s="27"/>
      <c r="K12" s="53"/>
      <c r="L12" s="53"/>
      <c r="M12" s="54"/>
      <c r="N12" s="3"/>
      <c r="O12" s="9"/>
      <c r="P12" s="9"/>
    </row>
    <row r="13" spans="1:16" ht="14.45" x14ac:dyDescent="0.3">
      <c r="B13" s="59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>
        <f>SUM(G7:G12)</f>
        <v>279398.98</v>
      </c>
      <c r="H14" s="10">
        <f>SUM(H7:H12)</f>
        <v>0</v>
      </c>
      <c r="I14" s="10">
        <f>SUM(I7:I12)</f>
        <v>279398.98</v>
      </c>
      <c r="J14" s="3"/>
      <c r="K14" s="10">
        <f>SUM(K7:K12)</f>
        <v>53916.34</v>
      </c>
      <c r="L14" s="10">
        <f>SUM(L7:L12)</f>
        <v>0</v>
      </c>
      <c r="M14" s="50">
        <f>SUM(M7:M12)</f>
        <v>53916.34</v>
      </c>
      <c r="N14" s="3"/>
      <c r="O14" s="9"/>
      <c r="P14" s="9"/>
    </row>
    <row r="15" spans="1:16" ht="14.45" x14ac:dyDescent="0.3">
      <c r="B15" s="3" t="s">
        <v>41</v>
      </c>
      <c r="C15" s="7"/>
      <c r="D15" s="3"/>
      <c r="E15" s="3"/>
      <c r="F15" s="12"/>
      <c r="G15" s="10"/>
      <c r="H15" s="10"/>
      <c r="I15" s="10"/>
      <c r="J15" s="3"/>
      <c r="K15" s="10"/>
      <c r="L15" s="10"/>
      <c r="M15" s="50"/>
      <c r="N15" s="3"/>
      <c r="O15" s="9"/>
      <c r="P15" s="9"/>
    </row>
    <row r="16" spans="1:16" ht="14.45" x14ac:dyDescent="0.3">
      <c r="B16" s="3"/>
      <c r="C16" s="7"/>
      <c r="D16" s="3"/>
      <c r="E16" s="3"/>
      <c r="F16" s="12"/>
      <c r="G16" s="10"/>
      <c r="H16" s="10"/>
      <c r="I16" s="10"/>
      <c r="J16" s="3"/>
      <c r="K16" s="10"/>
      <c r="L16" s="10"/>
      <c r="M16" s="50"/>
      <c r="N16" s="3"/>
      <c r="O16" s="9"/>
      <c r="P16" s="9"/>
    </row>
    <row r="17" spans="2:16" ht="14.45" x14ac:dyDescent="0.3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57"/>
      <c r="N17" s="3"/>
      <c r="O17" s="9"/>
      <c r="P17" s="9"/>
    </row>
    <row r="18" spans="2:16" ht="14.45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9"/>
      <c r="P18" s="9"/>
    </row>
    <row r="19" spans="2:16" ht="14.45" x14ac:dyDescent="0.3">
      <c r="B19" s="37" t="s">
        <v>71</v>
      </c>
      <c r="C19" s="8" t="s">
        <v>2</v>
      </c>
      <c r="D19" s="8" t="s">
        <v>65</v>
      </c>
      <c r="E19" s="8" t="s">
        <v>66</v>
      </c>
      <c r="F19" s="8" t="s">
        <v>67</v>
      </c>
      <c r="G19" s="8" t="s">
        <v>68</v>
      </c>
      <c r="H19" s="3"/>
      <c r="I19" s="3"/>
      <c r="J19" s="3"/>
      <c r="K19" s="3"/>
      <c r="L19" s="3"/>
      <c r="M19" s="3"/>
      <c r="N19" s="3"/>
      <c r="O19" s="9"/>
      <c r="P19" s="9"/>
    </row>
    <row r="20" spans="2:16" ht="14.45" x14ac:dyDescent="0.3">
      <c r="B20" s="32"/>
      <c r="C20" s="33"/>
      <c r="D20" s="76"/>
      <c r="E20" s="35"/>
      <c r="F20" s="36"/>
      <c r="G20" s="40"/>
      <c r="H20" s="38"/>
      <c r="I20" s="38"/>
      <c r="J20" s="38"/>
      <c r="K20" s="9"/>
      <c r="L20" s="3"/>
      <c r="M20" s="3"/>
      <c r="N20" s="3"/>
      <c r="O20" s="9"/>
      <c r="P20" s="9"/>
    </row>
    <row r="21" spans="2:16" ht="15" customHeight="1" x14ac:dyDescent="0.3">
      <c r="B21" s="32"/>
      <c r="C21" s="33"/>
      <c r="D21" s="76"/>
      <c r="E21" s="35"/>
      <c r="F21" s="68"/>
      <c r="G21" s="63"/>
      <c r="H21" s="77"/>
      <c r="I21" s="41"/>
      <c r="J21" s="38"/>
      <c r="K21" s="9"/>
      <c r="P21" s="9"/>
    </row>
    <row r="22" spans="2:16" ht="14.45" x14ac:dyDescent="0.3">
      <c r="B22" s="71"/>
      <c r="C22" s="75"/>
      <c r="D22" s="76"/>
      <c r="E22" s="73"/>
      <c r="F22" s="68"/>
      <c r="G22" s="63"/>
      <c r="H22" s="79"/>
      <c r="I22" s="3" t="s">
        <v>72</v>
      </c>
      <c r="J22" s="3"/>
      <c r="K22" s="9"/>
      <c r="L22" s="9"/>
      <c r="M22" s="9"/>
      <c r="P22" s="9"/>
    </row>
    <row r="23" spans="2:16" ht="14.45" x14ac:dyDescent="0.3">
      <c r="B23" s="71"/>
      <c r="C23" s="75"/>
      <c r="D23" s="76"/>
      <c r="E23" s="73"/>
      <c r="F23" s="68"/>
      <c r="G23" s="63"/>
      <c r="H23" s="79"/>
      <c r="I23" s="3" t="s">
        <v>69</v>
      </c>
      <c r="J23" s="3"/>
      <c r="K23" s="9"/>
      <c r="L23" s="9"/>
      <c r="M23" s="9"/>
      <c r="P23" s="9"/>
    </row>
    <row r="24" spans="2:16" ht="16.5" customHeight="1" x14ac:dyDescent="0.25">
      <c r="B24" s="71"/>
      <c r="C24" s="75"/>
      <c r="D24" s="76"/>
      <c r="E24" s="73"/>
      <c r="F24" s="74"/>
      <c r="G24" s="40"/>
      <c r="H24" s="79"/>
      <c r="I24" s="79"/>
      <c r="J24" s="41"/>
      <c r="P24" s="9"/>
    </row>
    <row r="25" spans="2:16" ht="15" hidden="1" customHeight="1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ht="15" customHeight="1" x14ac:dyDescent="0.25">
      <c r="B26" s="9"/>
      <c r="C26" s="9"/>
      <c r="D26" s="43"/>
      <c r="E26" s="8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3"/>
      <c r="J27" s="3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3"/>
      <c r="J28" s="3"/>
      <c r="K28" s="9"/>
      <c r="L28" s="9"/>
      <c r="M28" s="9"/>
      <c r="N28" s="9"/>
      <c r="O28" s="9"/>
      <c r="P28" s="9"/>
    </row>
    <row r="29" spans="2:16" ht="15" customHeight="1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82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7" bestFit="1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x14ac:dyDescent="0.25">
      <c r="B1" s="15" t="s">
        <v>13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95</v>
      </c>
      <c r="C3" s="15"/>
      <c r="D3" s="15"/>
      <c r="E3" s="3"/>
      <c r="F3" s="3"/>
      <c r="G3" s="3"/>
      <c r="H3" s="3"/>
      <c r="I3" s="3"/>
      <c r="J3" s="59"/>
      <c r="K3" s="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7">
        <v>4741.08</v>
      </c>
      <c r="H7" s="10">
        <f>SUM(H4:H6)</f>
        <v>0</v>
      </c>
      <c r="I7" s="10">
        <f>G7+H7</f>
        <v>4741.08</v>
      </c>
      <c r="J7" s="10"/>
      <c r="K7" s="10">
        <f>4650+91.08</f>
        <v>4741.08</v>
      </c>
      <c r="L7" s="10"/>
      <c r="M7" s="50">
        <f>K7+L7</f>
        <v>4741.08</v>
      </c>
      <c r="N7" s="3"/>
      <c r="O7" s="9"/>
      <c r="P7" s="9"/>
    </row>
    <row r="8" spans="1:16" ht="14.45" x14ac:dyDescent="0.3">
      <c r="B8" s="3" t="s">
        <v>9</v>
      </c>
      <c r="C8" s="5">
        <v>84.027000000000001</v>
      </c>
      <c r="D8" s="3" t="s">
        <v>133</v>
      </c>
      <c r="E8" s="3" t="s">
        <v>7</v>
      </c>
      <c r="F8" s="3" t="s">
        <v>132</v>
      </c>
      <c r="G8" s="47">
        <f>30677.46+92772.77</f>
        <v>123450.23000000001</v>
      </c>
      <c r="H8" s="174">
        <f>K8-G8</f>
        <v>-16023.570000000007</v>
      </c>
      <c r="I8" s="10">
        <f>G8+H8</f>
        <v>107426.66</v>
      </c>
      <c r="J8" s="10"/>
      <c r="K8" s="10">
        <f>30677.46+44910.93+31838.27</f>
        <v>107426.66</v>
      </c>
      <c r="L8" s="10">
        <v>0</v>
      </c>
      <c r="M8" s="50">
        <f t="shared" ref="M8" si="0">K8+L8</f>
        <v>107426.66</v>
      </c>
      <c r="N8" s="3"/>
      <c r="O8" s="9"/>
      <c r="P8" s="9"/>
    </row>
    <row r="9" spans="1:16" ht="14.45" x14ac:dyDescent="0.3">
      <c r="B9" s="3"/>
      <c r="C9" s="7"/>
      <c r="D9" s="3"/>
      <c r="E9" s="3"/>
      <c r="F9" s="3"/>
      <c r="G9" s="27"/>
      <c r="H9" s="27"/>
      <c r="I9" s="27"/>
      <c r="J9" s="59"/>
      <c r="K9" s="27"/>
      <c r="L9" s="27"/>
      <c r="M9" s="57"/>
      <c r="N9" s="3"/>
      <c r="O9" s="9"/>
      <c r="P9" s="9"/>
    </row>
    <row r="10" spans="1:16" ht="14.45" x14ac:dyDescent="0.3">
      <c r="B10" s="3"/>
      <c r="C10" s="7"/>
      <c r="D10" s="3"/>
      <c r="E10" s="3"/>
      <c r="F10" s="3"/>
      <c r="G10" s="59"/>
      <c r="H10" s="59"/>
      <c r="I10" s="59"/>
      <c r="J10" s="59"/>
      <c r="K10" s="59"/>
      <c r="L10" s="59"/>
      <c r="M10" s="64"/>
      <c r="N10" s="3"/>
      <c r="O10" s="9"/>
      <c r="P10" s="9"/>
    </row>
    <row r="11" spans="1:16" ht="14.45" x14ac:dyDescent="0.3">
      <c r="B11" s="3"/>
      <c r="C11" s="7"/>
      <c r="D11" s="3"/>
      <c r="E11" s="3"/>
      <c r="F11" s="3"/>
      <c r="G11" s="3"/>
      <c r="H11" s="3"/>
      <c r="I11" s="3"/>
      <c r="J11" s="3"/>
      <c r="K11" s="3"/>
      <c r="L11" s="3"/>
      <c r="M11" s="56"/>
      <c r="N11" s="3"/>
      <c r="O11" s="9"/>
      <c r="P11" s="9"/>
    </row>
    <row r="12" spans="1:16" ht="14.45" x14ac:dyDescent="0.3">
      <c r="B12" s="3"/>
      <c r="C12" s="7"/>
      <c r="D12" s="3"/>
      <c r="E12" s="3"/>
      <c r="F12" s="12" t="s">
        <v>70</v>
      </c>
      <c r="G12" s="10">
        <f>SUM(G7:G11)</f>
        <v>128191.31000000001</v>
      </c>
      <c r="H12" s="174">
        <f>SUM(H7:H11)</f>
        <v>-16023.570000000007</v>
      </c>
      <c r="I12" s="10">
        <f>SUM(I7:I11)</f>
        <v>112167.74</v>
      </c>
      <c r="J12" s="3"/>
      <c r="K12" s="10">
        <f>SUM(K7:K11)</f>
        <v>112167.74</v>
      </c>
      <c r="L12" s="10">
        <f>SUM(L7:L11)</f>
        <v>0</v>
      </c>
      <c r="M12" s="50">
        <f>SUM(M7:M11)</f>
        <v>112167.74</v>
      </c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/>
      <c r="H14" s="10"/>
      <c r="I14" s="10"/>
      <c r="J14" s="59"/>
      <c r="K14" s="10"/>
      <c r="L14" s="10"/>
      <c r="M14" s="50"/>
      <c r="N14" s="3"/>
      <c r="O14" s="9"/>
      <c r="P14" s="9"/>
    </row>
    <row r="15" spans="1:16" ht="14.45" x14ac:dyDescent="0.3">
      <c r="B15" s="27"/>
      <c r="C15" s="27"/>
      <c r="D15" s="27"/>
      <c r="E15" s="27"/>
      <c r="F15" s="27"/>
      <c r="G15" s="27"/>
      <c r="H15" s="27"/>
      <c r="I15" s="27"/>
      <c r="J15" s="59"/>
      <c r="K15" s="27"/>
      <c r="L15" s="27"/>
      <c r="M15" s="57"/>
      <c r="N15" s="3"/>
      <c r="O15" s="9"/>
      <c r="P15" s="9"/>
    </row>
    <row r="16" spans="1:16" ht="14.45" x14ac:dyDescent="0.3">
      <c r="B16" s="3"/>
      <c r="C16" s="3"/>
      <c r="D16" s="3"/>
      <c r="E16" s="3"/>
      <c r="F16" s="3"/>
      <c r="G16" s="3"/>
      <c r="H16" s="90"/>
      <c r="I16" s="90"/>
      <c r="J16" s="90"/>
      <c r="K16" s="115"/>
      <c r="L16" s="103"/>
      <c r="M16" s="103"/>
      <c r="N16" s="104"/>
      <c r="O16" s="9"/>
      <c r="P16" s="9"/>
    </row>
    <row r="17" spans="2:16" ht="14.45" x14ac:dyDescent="0.3">
      <c r="B17" s="37" t="s">
        <v>71</v>
      </c>
      <c r="C17" s="8" t="s">
        <v>2</v>
      </c>
      <c r="D17" s="8" t="s">
        <v>65</v>
      </c>
      <c r="E17" s="8" t="s">
        <v>66</v>
      </c>
      <c r="F17" s="8" t="s">
        <v>67</v>
      </c>
      <c r="G17" s="8" t="s">
        <v>68</v>
      </c>
      <c r="H17" s="3"/>
      <c r="I17" s="3"/>
      <c r="J17" s="3"/>
      <c r="K17" s="115" t="s">
        <v>183</v>
      </c>
      <c r="L17" s="103"/>
      <c r="M17" s="103"/>
      <c r="N17" s="104"/>
      <c r="O17" s="9"/>
      <c r="P17" s="9"/>
    </row>
    <row r="18" spans="2:16" ht="14.45" x14ac:dyDescent="0.3">
      <c r="B18" s="31"/>
      <c r="C18" s="16"/>
      <c r="D18" s="16"/>
      <c r="E18" s="3"/>
      <c r="F18" s="3"/>
      <c r="G18" s="3"/>
      <c r="H18" s="3"/>
      <c r="I18" s="3"/>
      <c r="J18" s="3"/>
      <c r="K18" s="104" t="s">
        <v>181</v>
      </c>
      <c r="L18" s="104"/>
      <c r="M18" s="104"/>
      <c r="N18" s="3"/>
      <c r="O18" s="9"/>
      <c r="P18" s="9"/>
    </row>
    <row r="19" spans="2:16" ht="14.45" x14ac:dyDescent="0.3">
      <c r="B19" s="32"/>
      <c r="C19" s="33"/>
      <c r="D19" s="76"/>
      <c r="E19" s="35"/>
      <c r="F19" s="36"/>
      <c r="G19" s="63"/>
      <c r="H19" s="38"/>
      <c r="I19" s="38"/>
      <c r="J19" s="38"/>
      <c r="K19" s="3"/>
      <c r="L19" s="3"/>
      <c r="M19" s="3"/>
      <c r="N19" s="3"/>
      <c r="O19" s="9"/>
      <c r="P19" s="9"/>
    </row>
    <row r="20" spans="2:16" ht="14.4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9"/>
      <c r="P20" s="9"/>
    </row>
    <row r="21" spans="2:16" ht="14.4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/>
      <c r="P21" s="9"/>
    </row>
    <row r="22" spans="2:16" ht="14.4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4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7109375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x14ac:dyDescent="0.25">
      <c r="B1" s="15" t="s">
        <v>14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96</v>
      </c>
      <c r="C3" s="15"/>
      <c r="D3" s="15"/>
      <c r="E3" s="3"/>
      <c r="F3" s="3"/>
      <c r="G3" s="3"/>
      <c r="H3" s="3"/>
      <c r="I3" s="3"/>
      <c r="J3" s="59"/>
      <c r="K3" s="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v>7396.1</v>
      </c>
      <c r="H7" s="10">
        <f>SUM(H4:H6)</f>
        <v>0</v>
      </c>
      <c r="I7" s="10">
        <f>G7+H7</f>
        <v>7396.1</v>
      </c>
      <c r="J7" s="10"/>
      <c r="K7" s="10">
        <f>1527.39+2376.06+1545.86+1463.22</f>
        <v>6912.53</v>
      </c>
      <c r="L7" s="10"/>
      <c r="M7" s="50">
        <f>K7+L7</f>
        <v>6912.53</v>
      </c>
      <c r="N7" s="3"/>
      <c r="O7" s="9"/>
      <c r="P7" s="9"/>
    </row>
    <row r="8" spans="1:16" ht="14.45" x14ac:dyDescent="0.3">
      <c r="B8" s="3" t="s">
        <v>9</v>
      </c>
      <c r="C8" s="5">
        <v>84.027000000000001</v>
      </c>
      <c r="D8" s="3" t="s">
        <v>133</v>
      </c>
      <c r="E8" s="3" t="s">
        <v>7</v>
      </c>
      <c r="F8" s="3" t="s">
        <v>132</v>
      </c>
      <c r="G8" s="4">
        <f>28983.97+0.03</f>
        <v>28984</v>
      </c>
      <c r="H8" s="174">
        <f>-0.04</f>
        <v>-0.04</v>
      </c>
      <c r="I8" s="10">
        <f>G8+H8</f>
        <v>28983.96</v>
      </c>
      <c r="J8" s="10"/>
      <c r="K8" s="10">
        <f>7026.64+2043.48+4538.45+5718.95+2315.82+7340.26</f>
        <v>28983.599999999999</v>
      </c>
      <c r="L8" s="10">
        <v>0</v>
      </c>
      <c r="M8" s="50">
        <f t="shared" ref="M8" si="0">K8+L8</f>
        <v>28983.599999999999</v>
      </c>
      <c r="N8" s="3"/>
      <c r="O8" s="9"/>
      <c r="P8" s="9"/>
    </row>
    <row r="9" spans="1:16" ht="14.45" x14ac:dyDescent="0.3">
      <c r="B9" s="3"/>
      <c r="C9" s="7"/>
      <c r="D9" s="3"/>
      <c r="E9" s="3"/>
      <c r="F9" s="3"/>
      <c r="G9" s="27"/>
      <c r="H9" s="27"/>
      <c r="I9" s="27"/>
      <c r="J9" s="59"/>
      <c r="K9" s="27"/>
      <c r="L9" s="27"/>
      <c r="M9" s="57"/>
      <c r="N9" s="3"/>
      <c r="O9" s="9"/>
      <c r="P9" s="9"/>
    </row>
    <row r="10" spans="1:16" ht="14.45" x14ac:dyDescent="0.3">
      <c r="B10" s="3"/>
      <c r="C10" s="7"/>
      <c r="D10" s="3"/>
      <c r="E10" s="3"/>
      <c r="F10" s="3"/>
      <c r="G10" s="59"/>
      <c r="H10" s="59"/>
      <c r="I10" s="59"/>
      <c r="J10" s="59"/>
      <c r="K10" s="59"/>
      <c r="L10" s="59"/>
      <c r="M10" s="56"/>
      <c r="N10" s="3"/>
      <c r="O10" s="9"/>
      <c r="P10" s="9"/>
    </row>
    <row r="11" spans="1:16" ht="14.45" x14ac:dyDescent="0.3">
      <c r="B11" s="3"/>
      <c r="C11" s="7"/>
      <c r="D11" s="3"/>
      <c r="E11" s="3"/>
      <c r="F11" s="12" t="s">
        <v>70</v>
      </c>
      <c r="G11" s="10">
        <f>SUM(G7:G9)</f>
        <v>36380.1</v>
      </c>
      <c r="H11" s="174">
        <f>SUM(H7:H9)</f>
        <v>-0.04</v>
      </c>
      <c r="I11" s="10">
        <f>SUM(I7:I9)</f>
        <v>36380.06</v>
      </c>
      <c r="J11" s="3"/>
      <c r="K11" s="10">
        <f>SUM(K7:K9)</f>
        <v>35896.129999999997</v>
      </c>
      <c r="L11" s="10">
        <f>SUM(L7:L9)</f>
        <v>0</v>
      </c>
      <c r="M11" s="50">
        <f>SUM(M7:M9)</f>
        <v>35896.129999999997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1"/>
      <c r="C17" s="16"/>
      <c r="D17" s="16"/>
      <c r="E17" s="3"/>
      <c r="F17" s="3"/>
      <c r="G17" s="3"/>
      <c r="H17" s="3"/>
      <c r="I17" s="3"/>
      <c r="J17" s="3"/>
      <c r="K17" s="104" t="s">
        <v>181</v>
      </c>
      <c r="L17" s="104"/>
      <c r="M17" s="104"/>
      <c r="N17" s="104"/>
      <c r="O17" s="9"/>
      <c r="P17" s="9"/>
    </row>
    <row r="18" spans="2:16" ht="14.45" x14ac:dyDescent="0.3">
      <c r="B18" s="32"/>
      <c r="C18" s="33"/>
      <c r="D18" s="76"/>
      <c r="E18" s="35"/>
      <c r="F18" s="36"/>
      <c r="G18" s="63"/>
      <c r="H18" s="38"/>
      <c r="I18" s="38"/>
      <c r="J18" s="38"/>
      <c r="K18" s="3"/>
      <c r="L18" s="3"/>
      <c r="M18" s="3"/>
      <c r="N18" s="3"/>
      <c r="O18" s="9"/>
      <c r="P18" s="9"/>
    </row>
    <row r="19" spans="2:16" ht="14.45" x14ac:dyDescent="0.3">
      <c r="B19" s="3"/>
      <c r="C19" s="33"/>
      <c r="D19" s="76"/>
      <c r="E19" s="66"/>
      <c r="F19" s="36"/>
      <c r="G19" s="63"/>
      <c r="H19" s="3"/>
      <c r="I19" s="3"/>
      <c r="J19" s="3"/>
      <c r="K19" s="3"/>
      <c r="L19" s="3"/>
      <c r="M19" s="3"/>
      <c r="N19" s="3"/>
      <c r="O19" s="9"/>
      <c r="P19" s="9"/>
    </row>
    <row r="20" spans="2:16" ht="14.4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9"/>
      <c r="P20" s="9"/>
    </row>
    <row r="21" spans="2:16" ht="14.4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/>
      <c r="P21" s="9"/>
    </row>
    <row r="22" spans="2:16" ht="14.4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209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195</v>
      </c>
      <c r="C3" s="15"/>
      <c r="D3" s="15"/>
      <c r="E3" s="3"/>
      <c r="F3" s="3"/>
      <c r="G3" s="3"/>
      <c r="H3" s="3"/>
      <c r="I3" s="3"/>
      <c r="J3" s="59"/>
      <c r="K3" s="90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181" t="s">
        <v>1</v>
      </c>
      <c r="C6" s="181" t="s">
        <v>2</v>
      </c>
      <c r="D6" s="181" t="s">
        <v>3</v>
      </c>
      <c r="E6" s="181" t="s">
        <v>4</v>
      </c>
      <c r="F6" s="181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90">
        <v>84.027000000000001</v>
      </c>
      <c r="D7" s="3" t="s">
        <v>133</v>
      </c>
      <c r="E7" s="3" t="s">
        <v>7</v>
      </c>
      <c r="F7" s="3" t="s">
        <v>132</v>
      </c>
      <c r="G7" s="167">
        <f>22543.09-6440.88</f>
        <v>16102.21</v>
      </c>
      <c r="H7" s="171">
        <f>-9655.07</f>
        <v>-9655.07</v>
      </c>
      <c r="I7" s="164">
        <f>G7+H7</f>
        <v>6447.1399999999994</v>
      </c>
      <c r="J7" s="81"/>
      <c r="K7" s="83">
        <v>0</v>
      </c>
      <c r="L7" s="164">
        <v>0</v>
      </c>
      <c r="M7" s="165">
        <f>K7+L7</f>
        <v>0</v>
      </c>
      <c r="N7" s="3"/>
      <c r="O7" s="9"/>
      <c r="P7" s="9"/>
    </row>
    <row r="8" spans="1:16" ht="14.45" x14ac:dyDescent="0.3">
      <c r="B8" s="3" t="s">
        <v>208</v>
      </c>
      <c r="C8" s="7">
        <v>84.367000000000004</v>
      </c>
      <c r="D8" s="3" t="s">
        <v>207</v>
      </c>
      <c r="E8" s="3" t="s">
        <v>7</v>
      </c>
      <c r="F8" s="3" t="s">
        <v>132</v>
      </c>
      <c r="G8" s="164">
        <v>4375</v>
      </c>
      <c r="H8" s="164"/>
      <c r="I8" s="164">
        <f>G8+H8</f>
        <v>4375</v>
      </c>
      <c r="J8" s="59"/>
      <c r="K8" s="164">
        <v>4375</v>
      </c>
      <c r="L8" s="164"/>
      <c r="M8" s="165">
        <f>K8+L8</f>
        <v>4375</v>
      </c>
      <c r="N8" s="3"/>
      <c r="O8" s="9"/>
      <c r="P8" s="9"/>
    </row>
    <row r="9" spans="1:16" ht="14.45" x14ac:dyDescent="0.3">
      <c r="B9" s="3"/>
      <c r="C9" s="7"/>
      <c r="D9" s="3"/>
      <c r="E9" s="3"/>
      <c r="F9" s="3"/>
      <c r="G9" s="53"/>
      <c r="H9" s="53"/>
      <c r="I9" s="53"/>
      <c r="J9" s="59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63"/>
      <c r="H10" s="163"/>
      <c r="I10" s="163"/>
      <c r="J10" s="3"/>
      <c r="K10" s="163"/>
      <c r="L10" s="163"/>
      <c r="M10" s="165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63">
        <f>SUM(G7:G10)</f>
        <v>20477.21</v>
      </c>
      <c r="H11" s="174">
        <f>SUM(H7:H10)</f>
        <v>-9655.07</v>
      </c>
      <c r="I11" s="163">
        <f>SUM(I7:I10)</f>
        <v>10822.14</v>
      </c>
      <c r="J11" s="3"/>
      <c r="K11" s="163">
        <f>SUM(K7:K10)</f>
        <v>4375</v>
      </c>
      <c r="L11" s="163">
        <f>SUM(L7:L10)</f>
        <v>0</v>
      </c>
      <c r="M11" s="165">
        <f>SUM(M7:M10)</f>
        <v>4375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63"/>
      <c r="H12" s="163"/>
      <c r="I12" s="163"/>
      <c r="J12" s="3"/>
      <c r="K12" s="163"/>
      <c r="L12" s="163"/>
      <c r="M12" s="165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63"/>
      <c r="H13" s="163"/>
      <c r="I13" s="163"/>
      <c r="J13" s="3"/>
      <c r="K13" s="163"/>
      <c r="L13" s="163"/>
      <c r="M13" s="165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181" t="s">
        <v>2</v>
      </c>
      <c r="D16" s="181" t="s">
        <v>65</v>
      </c>
      <c r="E16" s="181" t="s">
        <v>66</v>
      </c>
      <c r="F16" s="181" t="s">
        <v>67</v>
      </c>
      <c r="G16" s="181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76"/>
      <c r="E17" s="35"/>
      <c r="F17" s="36"/>
      <c r="G17" s="40"/>
      <c r="H17" s="38"/>
      <c r="I17" s="38"/>
      <c r="J17" s="38"/>
      <c r="K17" s="104" t="s">
        <v>181</v>
      </c>
      <c r="L17" s="104"/>
      <c r="M17" s="104"/>
      <c r="N17" s="104"/>
      <c r="O17" s="9"/>
      <c r="P17" s="9"/>
    </row>
    <row r="18" spans="2:16" ht="15" customHeight="1" x14ac:dyDescent="0.3">
      <c r="B18" s="32"/>
      <c r="C18" s="33"/>
      <c r="D18" s="76"/>
      <c r="E18" s="35"/>
      <c r="F18" s="68"/>
      <c r="G18" s="63"/>
      <c r="H18" s="77"/>
      <c r="I18" s="41"/>
      <c r="J18" s="38"/>
      <c r="K18" s="9"/>
      <c r="P18" s="9"/>
    </row>
    <row r="19" spans="2:16" ht="15" customHeight="1" x14ac:dyDescent="0.3">
      <c r="B19" s="32"/>
      <c r="C19" s="33"/>
      <c r="D19" s="76"/>
      <c r="E19" s="35"/>
      <c r="F19" s="68"/>
      <c r="G19" s="63"/>
      <c r="H19" s="77"/>
      <c r="I19" s="41"/>
      <c r="J19" s="38"/>
      <c r="K19" s="9"/>
      <c r="P19" s="9"/>
    </row>
    <row r="20" spans="2:16" ht="14.45" x14ac:dyDescent="0.3">
      <c r="B20" s="71"/>
      <c r="C20" s="75"/>
      <c r="D20" s="76"/>
      <c r="E20" s="73"/>
      <c r="F20" s="68"/>
      <c r="G20" s="63"/>
      <c r="H20" s="79"/>
      <c r="I20" s="3"/>
      <c r="J20" s="3"/>
      <c r="K20" s="9"/>
      <c r="L20" s="9"/>
      <c r="M20" s="9"/>
      <c r="P20" s="9"/>
    </row>
    <row r="21" spans="2:16" ht="14.45" x14ac:dyDescent="0.3">
      <c r="B21" s="71"/>
      <c r="C21" s="75"/>
      <c r="D21" s="76"/>
      <c r="E21" s="73"/>
      <c r="F21" s="68"/>
      <c r="G21" s="63"/>
      <c r="H21" s="79"/>
      <c r="I21" s="3"/>
      <c r="J21" s="3"/>
      <c r="K21" s="9"/>
      <c r="L21" s="9"/>
      <c r="M21" s="9"/>
      <c r="P21" s="9"/>
    </row>
    <row r="22" spans="2:16" ht="16.5" customHeight="1" x14ac:dyDescent="0.3">
      <c r="B22" s="71"/>
      <c r="C22" s="75"/>
      <c r="D22" s="76"/>
      <c r="E22" s="73"/>
      <c r="F22" s="74"/>
      <c r="G22" s="40"/>
      <c r="H22" s="79"/>
      <c r="I22" s="79"/>
      <c r="J22" s="41"/>
      <c r="P22" s="9"/>
    </row>
    <row r="23" spans="2:16" ht="15" hidden="1" customHeight="1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ht="15" customHeight="1" x14ac:dyDescent="0.25">
      <c r="B24" s="9"/>
      <c r="C24" s="9"/>
      <c r="D24" s="43"/>
      <c r="E24" s="8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3"/>
      <c r="J25" s="3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3"/>
      <c r="J26" s="3"/>
      <c r="K26" s="9"/>
      <c r="L26" s="9"/>
      <c r="M26" s="9"/>
      <c r="N26" s="9"/>
      <c r="O26" s="9"/>
      <c r="P26" s="9"/>
    </row>
    <row r="27" spans="2:16" ht="15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</sheetData>
  <mergeCells count="2">
    <mergeCell ref="K1:M1"/>
    <mergeCell ref="K2:M2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topLeftCell="B1" zoomScaleNormal="100" workbookViewId="0">
      <selection activeCell="B10" sqref="B10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7" bestFit="1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x14ac:dyDescent="0.25">
      <c r="B1" s="15" t="s">
        <v>73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97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90">
        <v>84.027000000000001</v>
      </c>
      <c r="D7" s="3" t="s">
        <v>133</v>
      </c>
      <c r="E7" s="3" t="s">
        <v>7</v>
      </c>
      <c r="F7" s="3" t="s">
        <v>132</v>
      </c>
      <c r="G7" s="82">
        <f>193226.45-63335.32</f>
        <v>129891.13</v>
      </c>
      <c r="H7" s="176">
        <f>+-7514+-11809+-10000+-5000+-12840.15+-82727.98</f>
        <v>-129891.13</v>
      </c>
      <c r="I7" s="10">
        <f>G7+H7</f>
        <v>0</v>
      </c>
      <c r="J7" s="16"/>
      <c r="K7" s="163">
        <v>0</v>
      </c>
      <c r="L7" s="117"/>
      <c r="M7" s="165">
        <f>K7+L7</f>
        <v>0</v>
      </c>
      <c r="N7" s="3"/>
      <c r="O7" s="9"/>
      <c r="P7" s="9"/>
    </row>
    <row r="8" spans="1:16" ht="14.45" x14ac:dyDescent="0.3">
      <c r="B8" s="3" t="s">
        <v>43</v>
      </c>
      <c r="C8" s="7">
        <v>84.281999999999996</v>
      </c>
      <c r="D8" s="3" t="s">
        <v>152</v>
      </c>
      <c r="E8" s="3" t="s">
        <v>7</v>
      </c>
      <c r="F8" s="3" t="s">
        <v>153</v>
      </c>
      <c r="G8" s="4">
        <v>25000</v>
      </c>
      <c r="H8" s="10"/>
      <c r="I8" s="10">
        <f>G8+H8</f>
        <v>25000</v>
      </c>
      <c r="J8" s="10"/>
      <c r="K8" s="10">
        <v>25000</v>
      </c>
      <c r="L8" s="10">
        <v>0</v>
      </c>
      <c r="M8" s="50">
        <f>K8+L8</f>
        <v>25000</v>
      </c>
      <c r="N8" s="3"/>
      <c r="O8" s="9"/>
      <c r="P8" s="9"/>
    </row>
    <row r="9" spans="1:16" ht="14.45" x14ac:dyDescent="0.3">
      <c r="B9" s="3"/>
      <c r="C9" s="65"/>
      <c r="D9" s="3"/>
      <c r="E9" s="3"/>
      <c r="F9" s="3"/>
      <c r="G9" s="67"/>
      <c r="H9" s="53"/>
      <c r="I9" s="53"/>
      <c r="J9" s="48"/>
      <c r="K9" s="53"/>
      <c r="L9" s="53"/>
      <c r="M9" s="54"/>
      <c r="N9" s="3"/>
      <c r="O9" s="9"/>
      <c r="P9" s="9"/>
    </row>
    <row r="10" spans="1:16" ht="14.45" x14ac:dyDescent="0.3">
      <c r="B10" s="3"/>
      <c r="C10" s="7"/>
      <c r="D10" s="3"/>
      <c r="E10" s="3"/>
      <c r="F10" s="3"/>
      <c r="G10" s="59"/>
      <c r="H10" s="59"/>
      <c r="I10" s="59"/>
      <c r="J10" s="59"/>
      <c r="K10" s="59"/>
      <c r="L10" s="59"/>
      <c r="M10" s="56"/>
      <c r="N10" s="3"/>
      <c r="O10" s="9"/>
      <c r="P10" s="9"/>
    </row>
    <row r="11" spans="1:16" ht="14.45" x14ac:dyDescent="0.3">
      <c r="B11" s="3"/>
      <c r="C11" s="7"/>
      <c r="D11" s="3"/>
      <c r="E11" s="3"/>
      <c r="F11" s="12" t="s">
        <v>70</v>
      </c>
      <c r="G11" s="10">
        <f>SUM(G7:G10)</f>
        <v>154891.13</v>
      </c>
      <c r="H11" s="174">
        <f>SUM(H7:H10)</f>
        <v>-129891.13</v>
      </c>
      <c r="I11" s="10">
        <f>SUM(I7:I10)</f>
        <v>25000</v>
      </c>
      <c r="J11" s="3"/>
      <c r="K11" s="10">
        <f>SUM(K8:K10)</f>
        <v>25000</v>
      </c>
      <c r="L11" s="10">
        <f>SUM(L8:L10)</f>
        <v>0</v>
      </c>
      <c r="M11" s="50">
        <f>SUM(M8:M10)</f>
        <v>25000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59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3"/>
      <c r="I16" s="3"/>
      <c r="J16" s="3"/>
      <c r="K16" s="114" t="s">
        <v>183</v>
      </c>
      <c r="L16" s="104"/>
      <c r="M16" s="104"/>
      <c r="N16" s="3"/>
      <c r="O16" s="9"/>
      <c r="P16" s="9"/>
    </row>
    <row r="17" spans="2:16" ht="14.45" x14ac:dyDescent="0.3">
      <c r="B17" s="31"/>
      <c r="C17" s="16"/>
      <c r="D17" s="16"/>
      <c r="E17" s="3"/>
      <c r="F17" s="3"/>
      <c r="G17" s="3"/>
      <c r="H17" s="90"/>
      <c r="I17" s="90"/>
      <c r="J17" s="90"/>
      <c r="K17" s="104" t="s">
        <v>181</v>
      </c>
      <c r="L17" s="104"/>
      <c r="M17" s="104"/>
      <c r="N17" s="104"/>
      <c r="O17" s="9"/>
      <c r="P17" s="9"/>
    </row>
    <row r="18" spans="2:16" ht="14.45" x14ac:dyDescent="0.3">
      <c r="B18" s="32"/>
      <c r="C18" s="33"/>
      <c r="D18" s="34"/>
      <c r="E18" s="35"/>
      <c r="F18" s="36"/>
      <c r="G18" s="63"/>
      <c r="H18" s="38"/>
      <c r="I18" s="38"/>
      <c r="J18" s="38"/>
      <c r="K18" s="104"/>
      <c r="L18" s="104"/>
      <c r="M18" s="104"/>
      <c r="N18" s="104"/>
      <c r="O18" s="9"/>
      <c r="P18" s="9"/>
    </row>
    <row r="19" spans="2:16" ht="14.4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9"/>
      <c r="P19" s="9"/>
    </row>
    <row r="20" spans="2:16" ht="14.4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9"/>
      <c r="P20" s="9"/>
    </row>
    <row r="21" spans="2:16" ht="14.4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4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48.85546875" customWidth="1"/>
    <col min="3" max="3" width="9" bestFit="1" customWidth="1"/>
    <col min="4" max="4" width="19.140625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21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98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8.75" customHeight="1" x14ac:dyDescent="0.3">
      <c r="B7" s="3" t="s">
        <v>9</v>
      </c>
      <c r="C7" s="65">
        <v>84.027000000000001</v>
      </c>
      <c r="D7" s="3" t="s">
        <v>133</v>
      </c>
      <c r="E7" s="3" t="s">
        <v>7</v>
      </c>
      <c r="F7" s="3" t="s">
        <v>132</v>
      </c>
      <c r="G7" s="4">
        <f>104127.59-15028.72</f>
        <v>89098.87</v>
      </c>
      <c r="H7" s="184"/>
      <c r="I7" s="10">
        <f>G7+H7</f>
        <v>89098.87</v>
      </c>
      <c r="J7" s="10"/>
      <c r="K7" s="10">
        <f>15003.64+60130.27+13964.96</f>
        <v>89098.87</v>
      </c>
      <c r="L7" s="10">
        <v>0</v>
      </c>
      <c r="M7" s="50">
        <f>K7+L7</f>
        <v>89098.87</v>
      </c>
      <c r="N7" s="3"/>
      <c r="O7" s="9"/>
      <c r="P7" s="9"/>
    </row>
    <row r="8" spans="1:16" ht="27.6" x14ac:dyDescent="0.3">
      <c r="B8" s="88" t="s">
        <v>136</v>
      </c>
      <c r="C8" s="89">
        <v>84.394999999999996</v>
      </c>
      <c r="D8" s="89" t="s">
        <v>137</v>
      </c>
      <c r="E8" s="90" t="s">
        <v>7</v>
      </c>
      <c r="F8" s="90" t="s">
        <v>138</v>
      </c>
      <c r="G8" s="59">
        <v>301.42</v>
      </c>
      <c r="H8" s="59"/>
      <c r="I8" s="10">
        <f>G8+H8</f>
        <v>301.42</v>
      </c>
      <c r="J8" s="59"/>
      <c r="K8" s="59">
        <v>301.42</v>
      </c>
      <c r="L8" s="59"/>
      <c r="M8" s="50">
        <f>K8+L8</f>
        <v>301.42</v>
      </c>
      <c r="N8" s="3"/>
      <c r="O8" s="9"/>
      <c r="P8" s="9"/>
    </row>
    <row r="9" spans="1:16" ht="14.45" x14ac:dyDescent="0.3">
      <c r="B9" s="88"/>
      <c r="C9" s="89"/>
      <c r="D9" s="89"/>
      <c r="E9" s="90"/>
      <c r="F9" s="90"/>
      <c r="G9" s="27"/>
      <c r="H9" s="27"/>
      <c r="I9" s="27"/>
      <c r="J9" s="59"/>
      <c r="K9" s="27"/>
      <c r="L9" s="27"/>
      <c r="M9" s="57"/>
      <c r="N9" s="3"/>
      <c r="O9" s="9"/>
      <c r="P9" s="9"/>
    </row>
    <row r="10" spans="1:16" ht="14.45" x14ac:dyDescent="0.3">
      <c r="B10" s="88"/>
      <c r="C10" s="89"/>
      <c r="D10" s="89"/>
      <c r="E10" s="90"/>
      <c r="F10" s="90"/>
      <c r="G10" s="59"/>
      <c r="H10" s="59"/>
      <c r="I10" s="59"/>
      <c r="J10" s="59"/>
      <c r="K10" s="59"/>
      <c r="L10" s="59"/>
      <c r="M10" s="56"/>
      <c r="N10" s="3"/>
      <c r="O10" s="9"/>
      <c r="P10" s="9"/>
    </row>
    <row r="11" spans="1:16" ht="14.45" x14ac:dyDescent="0.3">
      <c r="B11" s="3"/>
      <c r="C11" s="7"/>
      <c r="D11" s="3"/>
      <c r="E11" s="3"/>
      <c r="F11" s="12" t="s">
        <v>70</v>
      </c>
      <c r="G11" s="10">
        <f>SUM(G7:G8)</f>
        <v>89400.29</v>
      </c>
      <c r="H11" s="163">
        <f>SUM(H7:H8)</f>
        <v>0</v>
      </c>
      <c r="I11" s="10">
        <f>SUM(I7:I8)</f>
        <v>89400.29</v>
      </c>
      <c r="J11" s="3"/>
      <c r="K11" s="10">
        <f>SUM(K7:K8)</f>
        <v>89400.29</v>
      </c>
      <c r="L11" s="10">
        <f>SUM(L7:L8)</f>
        <v>0</v>
      </c>
      <c r="M11" s="50">
        <f>SUM(M7:M8)</f>
        <v>89400.29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"/>
      <c r="C17" s="33"/>
      <c r="D17" s="76"/>
      <c r="E17" s="66"/>
      <c r="F17" s="68"/>
      <c r="G17" s="63"/>
      <c r="H17" s="3"/>
      <c r="I17" s="3"/>
      <c r="J17" s="3"/>
      <c r="K17" s="104" t="s">
        <v>181</v>
      </c>
      <c r="L17" s="104"/>
      <c r="M17" s="104"/>
      <c r="N17" s="104"/>
      <c r="O17" s="9"/>
      <c r="P17" s="9"/>
    </row>
    <row r="18" spans="2:16" ht="14.45" x14ac:dyDescent="0.3">
      <c r="B18" s="32"/>
      <c r="C18" s="33"/>
      <c r="D18" s="34"/>
      <c r="E18" s="35"/>
      <c r="F18" s="36"/>
      <c r="G18" s="63"/>
      <c r="H18" s="38"/>
      <c r="I18" s="38"/>
      <c r="J18" s="38"/>
      <c r="K18" s="3"/>
      <c r="L18" s="3"/>
      <c r="M18" s="3"/>
      <c r="N18" s="3"/>
      <c r="O18" s="9"/>
      <c r="P18" s="9"/>
    </row>
    <row r="19" spans="2:16" ht="14.4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9"/>
      <c r="P19" s="9"/>
    </row>
    <row r="20" spans="2:16" ht="14.4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9"/>
      <c r="P20" s="9"/>
    </row>
    <row r="21" spans="2:16" ht="14.4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82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F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28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99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9</v>
      </c>
      <c r="C7" s="65">
        <v>84.027000000000001</v>
      </c>
      <c r="D7" s="3" t="s">
        <v>133</v>
      </c>
      <c r="E7" s="3" t="s">
        <v>7</v>
      </c>
      <c r="F7" s="3" t="s">
        <v>132</v>
      </c>
      <c r="G7" s="4">
        <f>19322.65-2146.96+0.31</f>
        <v>17176.000000000004</v>
      </c>
      <c r="H7" s="10">
        <v>0</v>
      </c>
      <c r="I7" s="10">
        <f>G7+H7</f>
        <v>17176.000000000004</v>
      </c>
      <c r="J7" s="10"/>
      <c r="K7" s="10">
        <f>17176</f>
        <v>17176</v>
      </c>
      <c r="L7" s="10">
        <v>0</v>
      </c>
      <c r="M7" s="50">
        <f>K7+L7</f>
        <v>17176</v>
      </c>
      <c r="N7" s="3"/>
      <c r="O7" s="9"/>
      <c r="P7" s="9"/>
    </row>
    <row r="8" spans="1:16" ht="14.45" x14ac:dyDescent="0.3">
      <c r="B8" s="3" t="s">
        <v>43</v>
      </c>
      <c r="C8" s="65">
        <v>84.281999999999996</v>
      </c>
      <c r="D8" s="3" t="s">
        <v>172</v>
      </c>
      <c r="E8" s="3" t="s">
        <v>7</v>
      </c>
      <c r="F8" s="3" t="s">
        <v>173</v>
      </c>
      <c r="G8" s="4">
        <v>325000</v>
      </c>
      <c r="H8" s="10">
        <v>31250</v>
      </c>
      <c r="I8" s="10">
        <f>G8+H8</f>
        <v>356250</v>
      </c>
      <c r="J8" s="10"/>
      <c r="K8" s="10">
        <v>31250</v>
      </c>
      <c r="L8" s="10"/>
      <c r="M8" s="50">
        <f>K8+L8</f>
        <v>31250</v>
      </c>
      <c r="N8" s="3"/>
      <c r="O8" s="9"/>
      <c r="P8" s="9"/>
    </row>
    <row r="9" spans="1:16" ht="14.45" x14ac:dyDescent="0.3">
      <c r="B9" s="3" t="s">
        <v>208</v>
      </c>
      <c r="C9" s="7">
        <v>84.367000000000004</v>
      </c>
      <c r="D9" s="3" t="s">
        <v>207</v>
      </c>
      <c r="E9" s="3" t="s">
        <v>7</v>
      </c>
      <c r="F9" s="3" t="s">
        <v>132</v>
      </c>
      <c r="G9" s="164">
        <v>9546.4500000000007</v>
      </c>
      <c r="H9" s="164"/>
      <c r="I9" s="163">
        <f>G9+H9</f>
        <v>9546.4500000000007</v>
      </c>
      <c r="J9" s="59"/>
      <c r="K9" s="164">
        <v>9546.4500000000007</v>
      </c>
      <c r="L9" s="164"/>
      <c r="M9" s="165">
        <f>K9+L9</f>
        <v>9546.4500000000007</v>
      </c>
      <c r="N9" s="3"/>
      <c r="O9" s="9"/>
      <c r="P9" s="9"/>
    </row>
    <row r="10" spans="1:16" ht="14.45" x14ac:dyDescent="0.3">
      <c r="B10" s="3"/>
      <c r="C10" s="7"/>
      <c r="D10" s="3"/>
      <c r="E10" s="3"/>
      <c r="F10" s="3"/>
      <c r="G10" s="53"/>
      <c r="H10" s="53"/>
      <c r="I10" s="53"/>
      <c r="J10" s="59"/>
      <c r="K10" s="53"/>
      <c r="L10" s="53"/>
      <c r="M10" s="54"/>
      <c r="N10" s="3"/>
      <c r="O10" s="9"/>
      <c r="P10" s="9"/>
    </row>
    <row r="11" spans="1:16" ht="14.45" x14ac:dyDescent="0.3">
      <c r="B11" s="59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>
        <f>SUM(G7:G11)</f>
        <v>351722.45</v>
      </c>
      <c r="H12" s="10">
        <f>SUM(H7:H11)</f>
        <v>31250</v>
      </c>
      <c r="I12" s="10">
        <f>SUM(I7:I11)</f>
        <v>382972.45</v>
      </c>
      <c r="J12" s="3"/>
      <c r="K12" s="10">
        <f>SUM(K7:K11)</f>
        <v>57972.45</v>
      </c>
      <c r="L12" s="10">
        <f>SUM(L7:L11)</f>
        <v>0</v>
      </c>
      <c r="M12" s="50">
        <f>SUM(M7:M11)</f>
        <v>57972.45</v>
      </c>
      <c r="N12" s="3"/>
      <c r="O12" s="9"/>
      <c r="P12" s="9"/>
    </row>
    <row r="13" spans="1:16" ht="14.45" x14ac:dyDescent="0.3">
      <c r="B13" s="59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/>
      <c r="H14" s="10"/>
      <c r="I14" s="10"/>
      <c r="J14" s="59"/>
      <c r="K14" s="10"/>
      <c r="L14" s="10"/>
      <c r="M14" s="50"/>
      <c r="N14" s="3"/>
      <c r="O14" s="9"/>
      <c r="P14" s="9"/>
    </row>
    <row r="15" spans="1:16" ht="14.45" x14ac:dyDescent="0.3">
      <c r="B15" s="27"/>
      <c r="C15" s="27"/>
      <c r="D15" s="27"/>
      <c r="E15" s="27"/>
      <c r="F15" s="27"/>
      <c r="G15" s="27"/>
      <c r="H15" s="27"/>
      <c r="I15" s="27"/>
      <c r="J15" s="59"/>
      <c r="K15" s="27"/>
      <c r="L15" s="27"/>
      <c r="M15" s="57"/>
      <c r="N15" s="3"/>
      <c r="O15" s="9"/>
      <c r="P15" s="9"/>
    </row>
    <row r="16" spans="1:16" ht="14.45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9"/>
      <c r="P16" s="9"/>
    </row>
    <row r="17" spans="2:16" ht="14.45" x14ac:dyDescent="0.3">
      <c r="B17" s="37" t="s">
        <v>71</v>
      </c>
      <c r="C17" s="8" t="s">
        <v>2</v>
      </c>
      <c r="D17" s="8" t="s">
        <v>65</v>
      </c>
      <c r="E17" s="8" t="s">
        <v>66</v>
      </c>
      <c r="F17" s="8" t="s">
        <v>67</v>
      </c>
      <c r="G17" s="8" t="s">
        <v>68</v>
      </c>
      <c r="H17" s="90"/>
      <c r="I17" s="90"/>
      <c r="J17" s="90"/>
      <c r="K17" s="115" t="s">
        <v>183</v>
      </c>
      <c r="L17" s="103"/>
      <c r="M17" s="103"/>
      <c r="N17" s="104"/>
      <c r="O17" s="9"/>
      <c r="P17" s="9"/>
    </row>
    <row r="18" spans="2:16" ht="14.45" x14ac:dyDescent="0.3">
      <c r="B18" s="3"/>
      <c r="C18" s="33"/>
      <c r="D18" s="34"/>
      <c r="E18" s="66"/>
      <c r="F18" s="68"/>
      <c r="G18" s="63"/>
      <c r="H18" s="3"/>
      <c r="I18" s="3"/>
      <c r="J18" s="3"/>
      <c r="K18" s="104" t="s">
        <v>181</v>
      </c>
      <c r="L18" s="104"/>
      <c r="M18" s="104"/>
      <c r="N18" s="104"/>
      <c r="O18" s="9"/>
      <c r="P18" s="9"/>
    </row>
    <row r="19" spans="2:16" ht="14.45" x14ac:dyDescent="0.3">
      <c r="B19" s="32"/>
      <c r="C19" s="33"/>
      <c r="D19" s="34"/>
      <c r="E19" s="35"/>
      <c r="F19" s="36"/>
      <c r="G19" s="63"/>
      <c r="H19" s="38"/>
      <c r="I19" s="38"/>
      <c r="J19" s="38"/>
      <c r="K19" s="3"/>
      <c r="L19" s="3"/>
      <c r="M19" s="3"/>
      <c r="N19" s="3"/>
      <c r="O19" s="9"/>
      <c r="P19" s="9"/>
    </row>
    <row r="20" spans="2:16" ht="14.4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9"/>
      <c r="P20" s="9"/>
    </row>
    <row r="21" spans="2:16" ht="14.4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/>
      <c r="P21" s="9"/>
    </row>
    <row r="22" spans="2:16" ht="14.4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131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100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v>48072.160000000003</v>
      </c>
      <c r="H7" s="10">
        <v>0</v>
      </c>
      <c r="I7" s="10">
        <f>G7+H7</f>
        <v>48072.160000000003</v>
      </c>
      <c r="J7" s="10"/>
      <c r="K7" s="10">
        <f>12562.54+10936.25+6119.52+9568.91+8884.94</f>
        <v>48072.160000000003</v>
      </c>
      <c r="L7" s="10"/>
      <c r="M7" s="50">
        <f>K7+L7</f>
        <v>48072.160000000003</v>
      </c>
      <c r="N7" s="3"/>
      <c r="O7" s="9"/>
      <c r="P7" s="9"/>
    </row>
    <row r="8" spans="1:16" ht="14.45" x14ac:dyDescent="0.3">
      <c r="B8" s="3" t="s">
        <v>9</v>
      </c>
      <c r="C8" s="90">
        <v>84.027000000000001</v>
      </c>
      <c r="D8" s="3" t="s">
        <v>133</v>
      </c>
      <c r="E8" s="3" t="s">
        <v>7</v>
      </c>
      <c r="F8" s="3" t="s">
        <v>132</v>
      </c>
      <c r="G8" s="13">
        <v>11808.28</v>
      </c>
      <c r="H8" s="48">
        <v>11809</v>
      </c>
      <c r="I8" s="48">
        <f>G8+H8</f>
        <v>23617.279999999999</v>
      </c>
      <c r="J8" s="48"/>
      <c r="K8" s="48">
        <f>7622.6+12666.53+3327.87</f>
        <v>23617</v>
      </c>
      <c r="L8" s="48">
        <v>0</v>
      </c>
      <c r="M8" s="50">
        <f>K8+L8</f>
        <v>23617</v>
      </c>
      <c r="N8" s="3"/>
      <c r="O8" s="9"/>
      <c r="P8" s="9"/>
    </row>
    <row r="9" spans="1:16" ht="14.45" x14ac:dyDescent="0.3">
      <c r="B9" s="3"/>
      <c r="C9" s="7"/>
      <c r="D9" s="3"/>
      <c r="E9" s="3"/>
      <c r="F9" s="12"/>
      <c r="G9" s="53"/>
      <c r="H9" s="53"/>
      <c r="I9" s="53"/>
      <c r="J9" s="59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59880.44</v>
      </c>
      <c r="H11" s="10">
        <f>SUM(H7:H10)</f>
        <v>11809</v>
      </c>
      <c r="I11" s="10">
        <f>SUM(I7:I10)</f>
        <v>71689.440000000002</v>
      </c>
      <c r="J11" s="3"/>
      <c r="K11" s="10">
        <f>SUM(K7:K10)</f>
        <v>71689.16</v>
      </c>
      <c r="L11" s="10">
        <f>SUM(L7:L10)</f>
        <v>0</v>
      </c>
      <c r="M11" s="50">
        <f>SUM(M7:M10)</f>
        <v>71689.16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76"/>
      <c r="E17" s="35"/>
      <c r="F17" s="36"/>
      <c r="G17" s="63"/>
      <c r="H17" s="3"/>
      <c r="I17" s="3"/>
      <c r="J17" s="3"/>
      <c r="K17" s="104" t="s">
        <v>181</v>
      </c>
      <c r="L17" s="104"/>
      <c r="M17" s="104"/>
      <c r="N17" s="104"/>
      <c r="O17" s="9"/>
      <c r="P17" s="9"/>
    </row>
    <row r="18" spans="2:16" ht="14.45" x14ac:dyDescent="0.3">
      <c r="B18" s="32"/>
      <c r="C18" s="33"/>
      <c r="D18" s="34"/>
      <c r="E18" s="35"/>
      <c r="F18" s="36"/>
      <c r="G18" s="63"/>
      <c r="H18" s="38"/>
      <c r="I18" s="38"/>
      <c r="J18" s="38"/>
      <c r="K18" s="3"/>
      <c r="L18" s="3"/>
      <c r="M18" s="3"/>
      <c r="N18" s="3"/>
      <c r="O18" s="9"/>
      <c r="P18" s="9"/>
    </row>
    <row r="19" spans="2:16" ht="14.4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9"/>
      <c r="P19" s="9"/>
    </row>
    <row r="20" spans="2:16" ht="14.4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9"/>
      <c r="P20" s="9"/>
    </row>
    <row r="21" spans="2:16" ht="14.4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75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101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65">
        <v>84.027000000000001</v>
      </c>
      <c r="D7" s="3" t="s">
        <v>133</v>
      </c>
      <c r="E7" s="3" t="s">
        <v>7</v>
      </c>
      <c r="F7" s="3" t="s">
        <v>132</v>
      </c>
      <c r="G7" s="13">
        <f>22933.22+77973.93</f>
        <v>100907.15</v>
      </c>
      <c r="H7" s="172">
        <f>K7-G7</f>
        <v>-0.14999999999417923</v>
      </c>
      <c r="I7" s="48">
        <f>G7+H7</f>
        <v>100907</v>
      </c>
      <c r="J7" s="48"/>
      <c r="K7" s="48">
        <f>22933.22+30348.14+37198.19+10427.45</f>
        <v>100907</v>
      </c>
      <c r="L7" s="48">
        <v>0</v>
      </c>
      <c r="M7" s="50">
        <f>K7+L7</f>
        <v>100907</v>
      </c>
      <c r="N7" s="3"/>
      <c r="O7" s="9"/>
      <c r="P7" s="9"/>
    </row>
    <row r="8" spans="1:16" ht="14.45" x14ac:dyDescent="0.3">
      <c r="B8" s="3"/>
      <c r="C8" s="7"/>
      <c r="D8" s="3"/>
      <c r="E8" s="3"/>
      <c r="F8" s="12"/>
      <c r="G8" s="53"/>
      <c r="H8" s="53"/>
      <c r="I8" s="53">
        <f>G8+H8</f>
        <v>0</v>
      </c>
      <c r="J8" s="59"/>
      <c r="K8" s="53"/>
      <c r="L8" s="53"/>
      <c r="M8" s="54"/>
      <c r="N8" s="3"/>
      <c r="O8" s="9"/>
      <c r="P8" s="9"/>
    </row>
    <row r="9" spans="1:16" ht="14.45" x14ac:dyDescent="0.3">
      <c r="B9" s="59"/>
      <c r="C9" s="7"/>
      <c r="D9" s="3"/>
      <c r="E9" s="3"/>
      <c r="F9" s="12"/>
      <c r="G9" s="10"/>
      <c r="H9" s="10"/>
      <c r="I9" s="10"/>
      <c r="J9" s="59"/>
      <c r="K9" s="10"/>
      <c r="L9" s="10"/>
      <c r="M9" s="50"/>
      <c r="N9" s="3"/>
      <c r="O9" s="9"/>
      <c r="P9" s="9"/>
    </row>
    <row r="10" spans="1:16" ht="14.45" x14ac:dyDescent="0.3">
      <c r="B10" s="3"/>
      <c r="C10" s="7"/>
      <c r="D10" s="3"/>
      <c r="E10" s="3"/>
      <c r="F10" s="12"/>
      <c r="G10" s="10">
        <f>SUM(G7:G9)</f>
        <v>100907.15</v>
      </c>
      <c r="H10" s="174">
        <f>SUM(H7:H9)</f>
        <v>-0.14999999999417923</v>
      </c>
      <c r="I10" s="10">
        <f>SUM(I7:I9)</f>
        <v>100907</v>
      </c>
      <c r="J10" s="3"/>
      <c r="K10" s="10">
        <f>SUM(K7:K9)</f>
        <v>100907</v>
      </c>
      <c r="L10" s="10">
        <f>SUM(L7:L9)</f>
        <v>0</v>
      </c>
      <c r="M10" s="50">
        <f>SUM(M7:M9)</f>
        <v>100907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27"/>
      <c r="C13" s="27"/>
      <c r="D13" s="27"/>
      <c r="E13" s="27"/>
      <c r="F13" s="27"/>
      <c r="G13" s="27"/>
      <c r="H13" s="27"/>
      <c r="I13" s="27"/>
      <c r="J13" s="59"/>
      <c r="K13" s="27"/>
      <c r="L13" s="27"/>
      <c r="M13" s="57"/>
      <c r="N13" s="3"/>
      <c r="O13" s="9"/>
      <c r="P13" s="9"/>
    </row>
    <row r="14" spans="1:16" ht="14.45" x14ac:dyDescent="0.3">
      <c r="B14" s="3"/>
      <c r="C14" s="3"/>
      <c r="D14" s="3"/>
      <c r="E14" s="3"/>
      <c r="F14" s="3"/>
      <c r="G14" s="3"/>
      <c r="H14" s="3"/>
      <c r="I14" s="3"/>
      <c r="J14" s="59"/>
      <c r="K14" s="3"/>
      <c r="L14" s="3"/>
      <c r="M14" s="3"/>
      <c r="N14" s="3"/>
      <c r="O14" s="9"/>
      <c r="P14" s="9"/>
    </row>
    <row r="15" spans="1:16" ht="14.45" x14ac:dyDescent="0.3">
      <c r="B15" s="37" t="s">
        <v>71</v>
      </c>
      <c r="C15" s="8" t="s">
        <v>2</v>
      </c>
      <c r="D15" s="8" t="s">
        <v>65</v>
      </c>
      <c r="E15" s="8" t="s">
        <v>66</v>
      </c>
      <c r="F15" s="8" t="s">
        <v>67</v>
      </c>
      <c r="G15" s="8" t="s">
        <v>68</v>
      </c>
      <c r="H15" s="3"/>
      <c r="I15" s="3"/>
      <c r="J15" s="3"/>
      <c r="K15" s="114" t="s">
        <v>183</v>
      </c>
      <c r="L15" s="104"/>
      <c r="M15" s="104"/>
      <c r="N15" s="3"/>
      <c r="O15" s="9"/>
      <c r="P15" s="9"/>
    </row>
    <row r="16" spans="1:16" ht="14.45" x14ac:dyDescent="0.3">
      <c r="B16" s="32"/>
      <c r="C16" s="33"/>
      <c r="D16" s="34"/>
      <c r="E16" s="35"/>
      <c r="F16" s="36"/>
      <c r="G16" s="63"/>
      <c r="H16" s="90"/>
      <c r="I16" s="90"/>
      <c r="J16" s="90"/>
      <c r="K16" s="104" t="s">
        <v>181</v>
      </c>
      <c r="L16" s="104"/>
      <c r="M16" s="104"/>
      <c r="N16" s="104"/>
      <c r="O16" s="9"/>
      <c r="P16" s="9"/>
    </row>
    <row r="17" spans="2:16" ht="14.45" x14ac:dyDescent="0.3">
      <c r="B17" s="32"/>
      <c r="C17" s="33"/>
      <c r="D17" s="34"/>
      <c r="E17" s="35"/>
      <c r="F17" s="36"/>
      <c r="G17" s="63"/>
      <c r="H17" s="38"/>
      <c r="I17" s="38"/>
      <c r="J17" s="38"/>
      <c r="K17" s="104"/>
      <c r="L17" s="104"/>
      <c r="M17" s="104"/>
      <c r="N17" s="104"/>
      <c r="O17" s="9"/>
      <c r="P17" s="9"/>
    </row>
    <row r="18" spans="2:16" ht="14.45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9"/>
      <c r="P18" s="9"/>
    </row>
    <row r="19" spans="2:16" ht="14.4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9"/>
      <c r="P19" s="9"/>
    </row>
    <row r="20" spans="2:16" ht="14.4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9"/>
      <c r="P20" s="9"/>
    </row>
    <row r="21" spans="2:16" ht="14.45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34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102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13">
        <v>17256.240000000002</v>
      </c>
      <c r="H7" s="48">
        <v>0</v>
      </c>
      <c r="I7" s="48">
        <f>G7+H7</f>
        <v>17256.240000000002</v>
      </c>
      <c r="J7" s="48"/>
      <c r="K7" s="48">
        <v>15285</v>
      </c>
      <c r="L7" s="48"/>
      <c r="M7" s="50">
        <f>K7+L7</f>
        <v>15285</v>
      </c>
      <c r="N7" s="3"/>
      <c r="O7" s="9"/>
      <c r="P7" s="9"/>
    </row>
    <row r="8" spans="1:16" ht="14.45" x14ac:dyDescent="0.3">
      <c r="B8" s="3" t="s">
        <v>9</v>
      </c>
      <c r="C8" s="90">
        <v>84.027000000000001</v>
      </c>
      <c r="D8" s="3" t="s">
        <v>133</v>
      </c>
      <c r="E8" s="3" t="s">
        <v>7</v>
      </c>
      <c r="F8" s="3" t="s">
        <v>132</v>
      </c>
      <c r="G8" s="48">
        <v>1073.48</v>
      </c>
      <c r="H8" s="172">
        <f>K8-G8</f>
        <v>-1073.48</v>
      </c>
      <c r="I8" s="48">
        <f>G8+H8</f>
        <v>0</v>
      </c>
      <c r="J8" s="59"/>
      <c r="K8" s="48">
        <v>0</v>
      </c>
      <c r="L8" s="48"/>
      <c r="M8" s="50"/>
      <c r="N8" s="3"/>
      <c r="O8" s="9"/>
      <c r="P8" s="9"/>
    </row>
    <row r="9" spans="1:16" ht="14.45" x14ac:dyDescent="0.3">
      <c r="B9" s="3"/>
      <c r="C9" s="65"/>
      <c r="D9" s="3"/>
      <c r="E9" s="3"/>
      <c r="F9" s="3"/>
      <c r="G9" s="53"/>
      <c r="H9" s="53"/>
      <c r="I9" s="53"/>
      <c r="J9" s="59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18329.72</v>
      </c>
      <c r="H11" s="174">
        <f>SUM(H7:H10)</f>
        <v>-1073.48</v>
      </c>
      <c r="I11" s="10">
        <f>SUM(I7:I10)</f>
        <v>17256.240000000002</v>
      </c>
      <c r="J11" s="3"/>
      <c r="K11" s="10">
        <f>SUM(K7:K10)</f>
        <v>15285</v>
      </c>
      <c r="L11" s="10">
        <f>SUM(L7:L10)</f>
        <v>0</v>
      </c>
      <c r="M11" s="50">
        <f>SUM(M7:M10)</f>
        <v>15285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34"/>
      <c r="E17" s="35"/>
      <c r="F17" s="36"/>
      <c r="G17" s="63"/>
      <c r="H17" s="3"/>
      <c r="I17" s="3"/>
      <c r="J17" s="3"/>
      <c r="K17" s="104" t="s">
        <v>181</v>
      </c>
      <c r="L17" s="104"/>
      <c r="M17" s="104"/>
      <c r="N17" s="104"/>
      <c r="O17" s="9"/>
      <c r="P17" s="9"/>
    </row>
    <row r="18" spans="2:16" ht="14.45" x14ac:dyDescent="0.3">
      <c r="B18" s="32"/>
      <c r="C18" s="33"/>
      <c r="D18" s="76"/>
      <c r="E18" s="35"/>
      <c r="F18" s="36"/>
      <c r="G18" s="63"/>
      <c r="H18" s="38"/>
      <c r="I18" s="38"/>
      <c r="J18" s="38"/>
      <c r="K18" s="3"/>
      <c r="L18" s="3"/>
      <c r="M18" s="3"/>
      <c r="N18" s="3"/>
      <c r="O18" s="9"/>
      <c r="P18" s="9"/>
    </row>
    <row r="19" spans="2:16" ht="14.4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9"/>
      <c r="P19" s="9"/>
    </row>
    <row r="20" spans="2:16" ht="14.4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9"/>
      <c r="P20" s="9"/>
    </row>
    <row r="21" spans="2:16" ht="14.4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25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103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9</v>
      </c>
      <c r="C7" s="65">
        <v>84.027000000000001</v>
      </c>
      <c r="D7" s="3" t="s">
        <v>133</v>
      </c>
      <c r="E7" s="3" t="s">
        <v>7</v>
      </c>
      <c r="F7" s="3" t="s">
        <v>132</v>
      </c>
      <c r="G7" s="4">
        <f>178197.73-22543.08+0.35</f>
        <v>155655.00000000003</v>
      </c>
      <c r="H7" s="48">
        <v>0</v>
      </c>
      <c r="I7" s="48">
        <f>G7+H7</f>
        <v>155655.00000000003</v>
      </c>
      <c r="J7" s="48"/>
      <c r="K7" s="48">
        <f>79942.41+66232.35+9480.24</f>
        <v>155655</v>
      </c>
      <c r="L7" s="48">
        <v>0</v>
      </c>
      <c r="M7" s="50">
        <f>K7+L7</f>
        <v>155655</v>
      </c>
      <c r="N7" s="3"/>
      <c r="O7" s="9"/>
      <c r="P7" s="9"/>
    </row>
    <row r="8" spans="1:16" ht="14.45" x14ac:dyDescent="0.3">
      <c r="B8" s="3" t="s">
        <v>149</v>
      </c>
      <c r="C8" s="90">
        <v>84.215000000000003</v>
      </c>
      <c r="D8" s="3" t="s">
        <v>150</v>
      </c>
      <c r="E8" s="3" t="s">
        <v>7</v>
      </c>
      <c r="F8" s="3" t="s">
        <v>165</v>
      </c>
      <c r="G8" s="164">
        <v>774.38</v>
      </c>
      <c r="H8" s="172">
        <v>-150</v>
      </c>
      <c r="I8" s="164">
        <f>G8+H8</f>
        <v>624.38</v>
      </c>
      <c r="J8" s="59"/>
      <c r="K8" s="164">
        <f>33.01+143.02+143.02+154.03</f>
        <v>473.08000000000004</v>
      </c>
      <c r="L8" s="164"/>
      <c r="M8" s="165">
        <f>K8+L8</f>
        <v>473.08000000000004</v>
      </c>
      <c r="N8" s="3"/>
      <c r="O8" s="9"/>
      <c r="P8" s="9"/>
    </row>
    <row r="9" spans="1:16" ht="14.45" x14ac:dyDescent="0.3">
      <c r="B9" s="3"/>
      <c r="C9" s="90"/>
      <c r="D9" s="3"/>
      <c r="E9" s="3"/>
      <c r="F9" s="3"/>
      <c r="G9" s="53"/>
      <c r="H9" s="173"/>
      <c r="I9" s="53"/>
      <c r="J9" s="59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59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156429.38000000003</v>
      </c>
      <c r="H11" s="174">
        <f>SUM(H7:H10)</f>
        <v>-150</v>
      </c>
      <c r="I11" s="10">
        <f>SUM(I7:I10)</f>
        <v>156279.38000000003</v>
      </c>
      <c r="J11" s="3"/>
      <c r="K11" s="10">
        <f>SUM(K7:K10)</f>
        <v>156128.07999999999</v>
      </c>
      <c r="L11" s="10">
        <f>SUM(L7:L10)</f>
        <v>0</v>
      </c>
      <c r="M11" s="50">
        <f>SUM(M7:M10)</f>
        <v>156128.07999999999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59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3"/>
      <c r="I16" s="3"/>
      <c r="J16" s="3"/>
      <c r="K16" s="114" t="s">
        <v>183</v>
      </c>
      <c r="L16" s="104"/>
      <c r="M16" s="104"/>
      <c r="N16" s="3"/>
      <c r="O16" s="9"/>
      <c r="P16" s="9"/>
    </row>
    <row r="17" spans="2:16" ht="14.45" x14ac:dyDescent="0.3">
      <c r="B17" s="32"/>
      <c r="C17" s="33"/>
      <c r="D17" s="34"/>
      <c r="E17" s="35"/>
      <c r="F17" s="36"/>
      <c r="G17" s="63"/>
      <c r="H17" s="90"/>
      <c r="I17" s="90"/>
      <c r="J17" s="90"/>
      <c r="K17" s="104" t="s">
        <v>181</v>
      </c>
      <c r="L17" s="104"/>
      <c r="M17" s="104"/>
      <c r="N17" s="104"/>
      <c r="O17" s="9"/>
      <c r="P17" s="9"/>
    </row>
    <row r="18" spans="2:16" ht="14.45" x14ac:dyDescent="0.3">
      <c r="B18" s="32"/>
      <c r="C18" s="33"/>
      <c r="D18" s="34"/>
      <c r="E18" s="35"/>
      <c r="F18" s="36"/>
      <c r="G18" s="63"/>
      <c r="H18" s="38"/>
      <c r="I18" s="38"/>
      <c r="J18" s="38"/>
      <c r="K18" s="104"/>
      <c r="L18" s="104"/>
      <c r="M18" s="104"/>
      <c r="N18" s="104"/>
      <c r="O18" s="9"/>
      <c r="P18" s="9"/>
    </row>
    <row r="19" spans="2:16" ht="14.45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9"/>
      <c r="P19" s="9"/>
    </row>
    <row r="20" spans="2:16" ht="14.45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9"/>
      <c r="P20" s="9"/>
    </row>
    <row r="21" spans="2:16" ht="14.4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B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53.140625" customWidth="1"/>
    <col min="3" max="3" width="9" bestFit="1" customWidth="1"/>
    <col min="4" max="4" width="17" bestFit="1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" customWidth="1"/>
    <col min="12" max="12" width="14.140625" customWidth="1"/>
    <col min="13" max="13" width="13.85546875" customWidth="1"/>
  </cols>
  <sheetData>
    <row r="1" spans="1:16" x14ac:dyDescent="0.25">
      <c r="B1" s="15" t="s">
        <v>0</v>
      </c>
      <c r="K1" s="187" t="s">
        <v>139</v>
      </c>
      <c r="L1" s="187"/>
      <c r="M1" s="187"/>
    </row>
    <row r="2" spans="1:16" x14ac:dyDescent="0.25">
      <c r="B2" s="15" t="s">
        <v>134</v>
      </c>
      <c r="G2" s="169">
        <v>41571</v>
      </c>
      <c r="H2" s="169">
        <v>41820</v>
      </c>
      <c r="J2" s="41"/>
      <c r="K2" s="185" t="s">
        <v>129</v>
      </c>
      <c r="L2" s="185"/>
      <c r="M2" s="185"/>
    </row>
    <row r="3" spans="1:16" x14ac:dyDescent="0.25">
      <c r="A3" t="s">
        <v>26</v>
      </c>
      <c r="B3" s="85" t="s">
        <v>88</v>
      </c>
      <c r="C3" s="1"/>
      <c r="D3" s="1"/>
      <c r="E3" s="9"/>
      <c r="F3" s="9"/>
      <c r="G3" s="9"/>
      <c r="H3" s="9"/>
      <c r="I3" s="9"/>
      <c r="J3" s="42"/>
      <c r="K3" s="17"/>
      <c r="L3" s="18"/>
      <c r="M3" s="9"/>
      <c r="N3" s="9"/>
      <c r="O3" s="9"/>
      <c r="P3" s="9"/>
    </row>
    <row r="4" spans="1:16" x14ac:dyDescent="0.25">
      <c r="C4" s="9"/>
      <c r="D4" s="9"/>
      <c r="E4" s="9"/>
      <c r="F4" s="9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9"/>
      <c r="C5" s="9"/>
      <c r="D5" s="9"/>
      <c r="E5" s="9"/>
      <c r="F5" s="9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44" t="s">
        <v>63</v>
      </c>
      <c r="M6" s="45" t="s">
        <v>64</v>
      </c>
      <c r="N6" s="9"/>
      <c r="O6" s="9"/>
      <c r="P6" s="9"/>
    </row>
    <row r="7" spans="1:16" x14ac:dyDescent="0.25">
      <c r="A7">
        <v>4201</v>
      </c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7">
        <v>31834.53</v>
      </c>
      <c r="H7" s="46">
        <f t="shared" ref="H7" si="0">SUM(H3:H6)</f>
        <v>0</v>
      </c>
      <c r="I7" s="10">
        <f>G7+H7</f>
        <v>31834.53</v>
      </c>
      <c r="J7" s="48"/>
      <c r="K7" s="10">
        <f>22221.93+9612.6</f>
        <v>31834.53</v>
      </c>
      <c r="L7" s="10"/>
      <c r="M7" s="49">
        <f>K7+L7</f>
        <v>31834.53</v>
      </c>
      <c r="N7" s="9"/>
      <c r="O7" s="9"/>
      <c r="P7" s="9"/>
    </row>
    <row r="8" spans="1:16" ht="14.45" x14ac:dyDescent="0.3">
      <c r="B8" s="3" t="s">
        <v>208</v>
      </c>
      <c r="C8" s="7">
        <v>84.367000000000004</v>
      </c>
      <c r="D8" s="3" t="s">
        <v>207</v>
      </c>
      <c r="E8" s="3" t="s">
        <v>7</v>
      </c>
      <c r="F8" s="3" t="s">
        <v>132</v>
      </c>
      <c r="G8" s="47">
        <v>1462.5</v>
      </c>
      <c r="H8" s="46"/>
      <c r="I8" s="163">
        <f>G8+H8</f>
        <v>1462.5</v>
      </c>
      <c r="J8" s="164"/>
      <c r="K8" s="163">
        <v>1462.5</v>
      </c>
      <c r="L8" s="163"/>
      <c r="M8" s="49">
        <f>K8+L8</f>
        <v>1462.5</v>
      </c>
      <c r="N8" s="9"/>
      <c r="O8" s="9"/>
      <c r="P8" s="9"/>
    </row>
    <row r="9" spans="1:16" ht="14.45" x14ac:dyDescent="0.3">
      <c r="B9" s="3" t="s">
        <v>9</v>
      </c>
      <c r="C9" s="5">
        <v>84.027000000000001</v>
      </c>
      <c r="D9" s="3" t="s">
        <v>133</v>
      </c>
      <c r="E9" s="3" t="s">
        <v>7</v>
      </c>
      <c r="F9" s="3" t="s">
        <v>132</v>
      </c>
      <c r="G9" s="155">
        <v>1758</v>
      </c>
      <c r="H9" s="154">
        <v>12197.24</v>
      </c>
      <c r="I9" s="10">
        <f>G9+H9</f>
        <v>13955.24</v>
      </c>
      <c r="J9" s="10"/>
      <c r="K9" s="10">
        <f>1758+5140.1+3545.5+3333.25+178.15</f>
        <v>13955</v>
      </c>
      <c r="L9" s="46">
        <v>0</v>
      </c>
      <c r="M9" s="50">
        <f>K9+L9</f>
        <v>13955</v>
      </c>
      <c r="N9" s="9"/>
      <c r="O9" s="9"/>
      <c r="P9" s="9"/>
    </row>
    <row r="10" spans="1:16" ht="15" customHeight="1" x14ac:dyDescent="0.3">
      <c r="B10" s="39" t="s">
        <v>198</v>
      </c>
      <c r="C10" s="7" t="s">
        <v>202</v>
      </c>
      <c r="D10" s="3" t="s">
        <v>199</v>
      </c>
      <c r="E10" s="3" t="s">
        <v>201</v>
      </c>
      <c r="F10" s="3" t="s">
        <v>200</v>
      </c>
      <c r="G10" s="51">
        <v>2405</v>
      </c>
      <c r="H10" s="52"/>
      <c r="I10" s="53">
        <f>G10+H10</f>
        <v>2405</v>
      </c>
      <c r="J10" s="48"/>
      <c r="K10" s="53">
        <v>2405</v>
      </c>
      <c r="L10" s="52"/>
      <c r="M10" s="54">
        <f>K10+L10</f>
        <v>2405</v>
      </c>
      <c r="N10" s="9"/>
      <c r="O10" s="9"/>
      <c r="P10" s="9"/>
    </row>
    <row r="11" spans="1:16" ht="14.45" x14ac:dyDescent="0.3">
      <c r="B11" s="3"/>
      <c r="C11" s="5"/>
      <c r="D11" s="3"/>
      <c r="E11" s="3"/>
      <c r="F11" s="3"/>
      <c r="G11" s="46"/>
      <c r="H11" s="46"/>
      <c r="I11" s="46"/>
      <c r="J11" s="46"/>
      <c r="K11" s="46"/>
      <c r="L11" s="46"/>
      <c r="M11" s="55"/>
      <c r="N11" s="9"/>
      <c r="O11" s="9"/>
      <c r="P11" s="9"/>
    </row>
    <row r="12" spans="1:16" ht="14.45" x14ac:dyDescent="0.3">
      <c r="B12" s="6"/>
      <c r="C12" s="9"/>
      <c r="D12" s="9"/>
      <c r="E12" s="9"/>
      <c r="F12" s="43" t="s">
        <v>70</v>
      </c>
      <c r="G12" s="10">
        <f>SUM(G7:G11)</f>
        <v>37460.03</v>
      </c>
      <c r="H12" s="10">
        <f t="shared" ref="H12:I12" si="1">SUM(H7:H11)</f>
        <v>12197.24</v>
      </c>
      <c r="I12" s="10">
        <f t="shared" si="1"/>
        <v>49657.27</v>
      </c>
      <c r="J12" s="10"/>
      <c r="K12" s="10">
        <f>SUM(K7:K11)</f>
        <v>49657.03</v>
      </c>
      <c r="L12" s="10">
        <f>SUM(L7:L11)</f>
        <v>0</v>
      </c>
      <c r="M12" s="50">
        <f>SUM(M7:M11)</f>
        <v>49657.03</v>
      </c>
      <c r="N12" s="9"/>
      <c r="O12" s="9"/>
      <c r="P12" s="9"/>
    </row>
    <row r="13" spans="1:16" ht="14.45" x14ac:dyDescent="0.3">
      <c r="B13" s="3"/>
      <c r="C13" s="9"/>
      <c r="D13" s="9"/>
      <c r="E13" s="9"/>
      <c r="F13" s="9"/>
      <c r="G13" s="9"/>
      <c r="H13" s="9"/>
      <c r="I13" s="9"/>
      <c r="J13" s="9"/>
      <c r="K13" s="9"/>
      <c r="L13" s="9"/>
      <c r="M13" s="29"/>
      <c r="N13" s="9"/>
      <c r="O13" s="9"/>
      <c r="P13" s="9"/>
    </row>
    <row r="14" spans="1:16" ht="14.45" x14ac:dyDescent="0.3">
      <c r="B14" s="3"/>
      <c r="C14" s="9"/>
      <c r="D14" s="9"/>
      <c r="E14" s="9"/>
      <c r="F14" s="9"/>
      <c r="G14" s="9"/>
      <c r="H14" s="9"/>
      <c r="I14" s="9"/>
      <c r="J14" s="9"/>
      <c r="K14" s="9"/>
      <c r="L14" s="9"/>
      <c r="M14" s="29"/>
      <c r="N14" s="9"/>
      <c r="O14" s="9"/>
      <c r="P14" s="9"/>
    </row>
    <row r="15" spans="1:16" ht="14.45" x14ac:dyDescent="0.3">
      <c r="B15" s="27"/>
      <c r="C15" s="28"/>
      <c r="D15" s="28"/>
      <c r="E15" s="28"/>
      <c r="F15" s="28"/>
      <c r="G15" s="28"/>
      <c r="H15" s="28"/>
      <c r="I15" s="28"/>
      <c r="J15" s="42"/>
      <c r="K15" s="28"/>
      <c r="L15" s="28"/>
      <c r="M15" s="30"/>
      <c r="N15" s="9"/>
      <c r="O15" s="9"/>
      <c r="P15" s="9"/>
    </row>
    <row r="16" spans="1:16" ht="14.45" x14ac:dyDescent="0.3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 ht="14.45" x14ac:dyDescent="0.3">
      <c r="B17" s="37" t="s">
        <v>71</v>
      </c>
      <c r="C17" s="8" t="s">
        <v>2</v>
      </c>
      <c r="D17" s="8" t="s">
        <v>65</v>
      </c>
      <c r="E17" s="8" t="s">
        <v>66</v>
      </c>
      <c r="F17" s="8" t="s">
        <v>67</v>
      </c>
      <c r="G17" s="8" t="s">
        <v>68</v>
      </c>
      <c r="H17" s="90"/>
      <c r="I17" s="98"/>
      <c r="J17" s="98"/>
      <c r="K17" s="102" t="s">
        <v>182</v>
      </c>
      <c r="L17" s="103"/>
      <c r="M17" s="103"/>
      <c r="N17" s="104"/>
      <c r="O17" s="9"/>
      <c r="P17" s="9"/>
    </row>
    <row r="18" spans="2:16" ht="14.45" x14ac:dyDescent="0.3">
      <c r="B18" s="31"/>
      <c r="C18" s="16"/>
      <c r="D18" s="16"/>
      <c r="E18" s="3"/>
      <c r="F18" s="3"/>
      <c r="G18" s="3"/>
      <c r="H18" s="3"/>
      <c r="K18" s="104" t="s">
        <v>181</v>
      </c>
      <c r="L18" s="104"/>
      <c r="M18" s="104"/>
      <c r="N18" s="104"/>
      <c r="O18" s="9"/>
      <c r="P18" s="9"/>
    </row>
    <row r="19" spans="2:16" ht="14.45" x14ac:dyDescent="0.3">
      <c r="B19" s="32"/>
      <c r="C19" s="33"/>
      <c r="D19" s="76"/>
      <c r="E19" s="35">
        <f>L7</f>
        <v>0</v>
      </c>
      <c r="F19" s="36"/>
      <c r="G19" s="40"/>
      <c r="H19" s="38"/>
      <c r="I19" s="38"/>
      <c r="J19" s="38"/>
      <c r="K19" s="9"/>
      <c r="L19" s="9"/>
      <c r="M19" s="9"/>
      <c r="N19" s="9"/>
      <c r="O19" s="9"/>
      <c r="P19" s="9"/>
    </row>
    <row r="20" spans="2:16" ht="14.45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ht="14.45" x14ac:dyDescent="0.3">
      <c r="B21" s="9"/>
      <c r="C21" s="9"/>
      <c r="D21" s="9"/>
      <c r="E21" s="9"/>
      <c r="F21" s="9"/>
      <c r="G21" s="9"/>
      <c r="H21" s="9"/>
      <c r="I21" s="3"/>
      <c r="J21" s="3"/>
      <c r="K21" s="9"/>
      <c r="L21" s="9"/>
      <c r="M21" s="9"/>
      <c r="N21" s="9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3"/>
      <c r="J22" s="3"/>
      <c r="K22" s="9"/>
      <c r="L22" s="9"/>
      <c r="M22" s="9"/>
      <c r="N22" s="9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81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B1" zoomScaleNormal="100" workbookViewId="0">
      <selection activeCell="B12" sqref="B12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76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104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v>167298.76999999999</v>
      </c>
      <c r="H7" s="48">
        <v>0</v>
      </c>
      <c r="I7" s="48">
        <f>G7+H7</f>
        <v>167298.76999999999</v>
      </c>
      <c r="J7" s="48"/>
      <c r="K7" s="48">
        <f>34069.37+37417.46+24425.17+42676.39+16537+3928.08</f>
        <v>159053.47</v>
      </c>
      <c r="L7" s="48">
        <v>0</v>
      </c>
      <c r="M7" s="50">
        <f t="shared" ref="M7:M11" si="0">K7+L7</f>
        <v>159053.47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161">
        <v>17915.5</v>
      </c>
      <c r="H8" s="160">
        <f>41125.92-0.42</f>
        <v>41125.5</v>
      </c>
      <c r="I8" s="48">
        <f>G8+H8</f>
        <v>59041</v>
      </c>
      <c r="J8" s="48"/>
      <c r="K8" s="48">
        <f>8957.75+10421.56+22190.25+14706.25+2765.19</f>
        <v>59041</v>
      </c>
      <c r="L8" s="48">
        <v>0</v>
      </c>
      <c r="M8" s="50">
        <f t="shared" si="0"/>
        <v>59041</v>
      </c>
      <c r="N8" s="3"/>
      <c r="O8" s="9"/>
      <c r="P8" s="9"/>
    </row>
    <row r="9" spans="1:16" ht="14.45" x14ac:dyDescent="0.3">
      <c r="B9" s="3" t="s">
        <v>40</v>
      </c>
      <c r="C9" s="7">
        <v>84.048000000000002</v>
      </c>
      <c r="D9" s="3" t="s">
        <v>140</v>
      </c>
      <c r="E9" s="3" t="s">
        <v>7</v>
      </c>
      <c r="F9" s="3" t="s">
        <v>132</v>
      </c>
      <c r="G9" s="4">
        <v>6731.5</v>
      </c>
      <c r="H9" s="48">
        <v>0</v>
      </c>
      <c r="I9" s="48">
        <f t="shared" ref="I9:I11" si="1">G9+H9</f>
        <v>6731.5</v>
      </c>
      <c r="J9" s="48"/>
      <c r="K9" s="48">
        <v>2513</v>
      </c>
      <c r="L9" s="48">
        <f>3596+622.5</f>
        <v>4218.5</v>
      </c>
      <c r="M9" s="50">
        <f t="shared" si="0"/>
        <v>6731.5</v>
      </c>
      <c r="N9" s="3"/>
      <c r="O9" s="9"/>
      <c r="P9" s="9"/>
    </row>
    <row r="10" spans="1:16" ht="14.45" x14ac:dyDescent="0.3">
      <c r="B10" s="3" t="s">
        <v>167</v>
      </c>
      <c r="C10" s="7">
        <v>84.367000000000004</v>
      </c>
      <c r="D10" s="3" t="s">
        <v>144</v>
      </c>
      <c r="E10" s="3" t="s">
        <v>7</v>
      </c>
      <c r="F10" s="3" t="s">
        <v>132</v>
      </c>
      <c r="G10" s="4">
        <v>3471.59</v>
      </c>
      <c r="H10" s="172">
        <f>-1500-292.92</f>
        <v>-1792.92</v>
      </c>
      <c r="I10" s="48">
        <f t="shared" si="1"/>
        <v>1678.67</v>
      </c>
      <c r="J10" s="48"/>
      <c r="K10" s="48">
        <f>132.02+132.02+132.02+132.02+132.02+132.02+132.02+132.02+132.02+358.47</f>
        <v>1546.65</v>
      </c>
      <c r="L10" s="48">
        <v>0</v>
      </c>
      <c r="M10" s="50">
        <f t="shared" si="0"/>
        <v>1546.65</v>
      </c>
      <c r="N10" s="3"/>
      <c r="O10" s="9"/>
      <c r="P10" s="9"/>
    </row>
    <row r="11" spans="1:16" ht="14.45" x14ac:dyDescent="0.3">
      <c r="B11" s="3" t="s">
        <v>189</v>
      </c>
      <c r="C11" s="7">
        <v>84.35</v>
      </c>
      <c r="D11" s="116" t="s">
        <v>187</v>
      </c>
      <c r="E11" s="3" t="s">
        <v>7</v>
      </c>
      <c r="F11" s="3" t="s">
        <v>188</v>
      </c>
      <c r="G11" s="4">
        <f>3378.74+1300</f>
        <v>4678.74</v>
      </c>
      <c r="H11" s="48">
        <f>686.51+500</f>
        <v>1186.51</v>
      </c>
      <c r="I11" s="48">
        <f t="shared" si="1"/>
        <v>5865.25</v>
      </c>
      <c r="J11" s="48"/>
      <c r="K11" s="48">
        <f>3378.74+335.33+686.51+265.75+153.29+407.11</f>
        <v>5226.7299999999996</v>
      </c>
      <c r="L11" s="48"/>
      <c r="M11" s="50">
        <f t="shared" si="0"/>
        <v>5226.7299999999996</v>
      </c>
      <c r="N11" s="3"/>
      <c r="O11" s="9"/>
      <c r="P11" s="9"/>
    </row>
    <row r="12" spans="1:16" ht="14.45" x14ac:dyDescent="0.3">
      <c r="B12" s="3"/>
      <c r="C12" s="65"/>
      <c r="D12" s="3"/>
      <c r="E12" s="3"/>
      <c r="F12" s="3"/>
      <c r="G12" s="53"/>
      <c r="H12" s="53"/>
      <c r="I12" s="53"/>
      <c r="J12" s="27"/>
      <c r="K12" s="53"/>
      <c r="L12" s="53"/>
      <c r="M12" s="54"/>
      <c r="N12" s="3"/>
      <c r="O12" s="9"/>
      <c r="P12" s="9"/>
    </row>
    <row r="13" spans="1:16" ht="14.45" x14ac:dyDescent="0.3">
      <c r="B13" s="59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>
        <f>SUM(G7:G13)</f>
        <v>200096.09999999998</v>
      </c>
      <c r="H14" s="10">
        <f>SUM(H7:H13)</f>
        <v>40519.090000000004</v>
      </c>
      <c r="I14" s="10">
        <f>SUM(I7:I13)</f>
        <v>240615.19</v>
      </c>
      <c r="J14" s="3"/>
      <c r="K14" s="10">
        <f>SUM(K7:K13)</f>
        <v>227380.85</v>
      </c>
      <c r="L14" s="10">
        <f>SUM(L7:L13)</f>
        <v>4218.5</v>
      </c>
      <c r="M14" s="50">
        <f>SUM(M7:M13)</f>
        <v>231599.35</v>
      </c>
      <c r="N14" s="3"/>
      <c r="O14" s="9"/>
      <c r="P14" s="9"/>
    </row>
    <row r="15" spans="1:16" ht="14.45" x14ac:dyDescent="0.3">
      <c r="B15" s="3"/>
      <c r="C15" s="7"/>
      <c r="D15" s="3"/>
      <c r="E15" s="3"/>
      <c r="F15" s="12"/>
      <c r="G15" s="10"/>
      <c r="H15" s="10"/>
      <c r="I15" s="10"/>
      <c r="J15" s="59"/>
      <c r="K15" s="10"/>
      <c r="L15" s="10"/>
      <c r="M15" s="50"/>
      <c r="N15" s="3"/>
      <c r="O15" s="9"/>
      <c r="P15" s="9"/>
    </row>
    <row r="16" spans="1:16" ht="14.45" x14ac:dyDescent="0.3">
      <c r="B16" s="3"/>
      <c r="C16" s="7"/>
      <c r="D16" s="3"/>
      <c r="E16" s="3"/>
      <c r="F16" s="12"/>
      <c r="G16" s="10"/>
      <c r="H16" s="10"/>
      <c r="I16" s="10"/>
      <c r="J16" s="3"/>
      <c r="K16" s="10"/>
      <c r="L16" s="10"/>
      <c r="M16" s="50"/>
      <c r="N16" s="3"/>
      <c r="O16" s="9"/>
      <c r="P16" s="9"/>
    </row>
    <row r="17" spans="1:16" ht="14.45" x14ac:dyDescent="0.3">
      <c r="B17" s="27"/>
      <c r="C17" s="27"/>
      <c r="D17" s="27"/>
      <c r="E17" s="27"/>
      <c r="F17" s="27"/>
      <c r="G17" s="27"/>
      <c r="H17" s="99"/>
      <c r="I17" s="99"/>
      <c r="J17" s="101"/>
      <c r="K17" s="113"/>
      <c r="L17" s="105"/>
      <c r="M17" s="106"/>
      <c r="N17" s="104"/>
      <c r="O17" s="9"/>
      <c r="P17" s="9"/>
    </row>
    <row r="18" spans="1:16" ht="14.45" x14ac:dyDescent="0.3">
      <c r="B18" s="3"/>
      <c r="C18" s="3"/>
      <c r="D18" s="3"/>
      <c r="E18" s="3"/>
      <c r="F18" s="3"/>
      <c r="G18" s="3"/>
      <c r="H18" s="3"/>
      <c r="I18" s="3"/>
      <c r="J18" s="3"/>
      <c r="K18" s="104"/>
      <c r="L18" s="104"/>
      <c r="M18" s="104"/>
      <c r="N18" s="104"/>
      <c r="O18" s="9"/>
      <c r="P18" s="9"/>
    </row>
    <row r="19" spans="1:16" ht="14.45" x14ac:dyDescent="0.3">
      <c r="B19" s="150" t="s">
        <v>71</v>
      </c>
      <c r="C19" s="8" t="s">
        <v>2</v>
      </c>
      <c r="D19" s="8" t="s">
        <v>65</v>
      </c>
      <c r="E19" s="8" t="s">
        <v>66</v>
      </c>
      <c r="F19" s="8" t="s">
        <v>67</v>
      </c>
      <c r="G19" s="86" t="s">
        <v>68</v>
      </c>
      <c r="H19" s="27"/>
      <c r="I19" s="59"/>
      <c r="J19" s="59"/>
      <c r="K19" s="115" t="s">
        <v>183</v>
      </c>
      <c r="L19" s="102"/>
      <c r="M19" s="102"/>
      <c r="N19" s="3"/>
      <c r="O19" s="9"/>
      <c r="P19" s="9"/>
    </row>
    <row r="20" spans="1:16" ht="15" customHeight="1" x14ac:dyDescent="0.25">
      <c r="B20" s="188" t="s">
        <v>166</v>
      </c>
      <c r="C20" s="208" t="s">
        <v>77</v>
      </c>
      <c r="D20" s="205" t="s">
        <v>168</v>
      </c>
      <c r="E20" s="202">
        <v>3596</v>
      </c>
      <c r="F20" s="199" t="s">
        <v>176</v>
      </c>
      <c r="G20" s="191" t="s">
        <v>194</v>
      </c>
      <c r="H20" s="192"/>
      <c r="I20" s="38"/>
      <c r="J20" s="38"/>
      <c r="K20" s="104" t="s">
        <v>181</v>
      </c>
      <c r="L20" s="104"/>
      <c r="M20" s="104"/>
      <c r="P20" s="9"/>
    </row>
    <row r="21" spans="1:16" x14ac:dyDescent="0.25">
      <c r="B21" s="189"/>
      <c r="C21" s="209"/>
      <c r="D21" s="206"/>
      <c r="E21" s="203"/>
      <c r="F21" s="200"/>
      <c r="G21" s="193"/>
      <c r="H21" s="194"/>
      <c r="I21" s="41"/>
      <c r="J21" s="41"/>
      <c r="P21" s="9"/>
    </row>
    <row r="22" spans="1:16" x14ac:dyDescent="0.25">
      <c r="B22" s="190"/>
      <c r="C22" s="210"/>
      <c r="D22" s="207"/>
      <c r="E22" s="204"/>
      <c r="F22" s="201"/>
      <c r="G22" s="195"/>
      <c r="H22" s="196"/>
      <c r="I22" s="72"/>
      <c r="J22" s="41"/>
      <c r="K22" s="115"/>
      <c r="L22" s="102"/>
      <c r="M22" s="102"/>
      <c r="P22" s="9"/>
    </row>
    <row r="23" spans="1:16" ht="15" customHeight="1" x14ac:dyDescent="0.3">
      <c r="B23" s="151" t="s">
        <v>166</v>
      </c>
      <c r="C23" s="152" t="s">
        <v>77</v>
      </c>
      <c r="D23" s="138" t="s">
        <v>190</v>
      </c>
      <c r="E23" s="148">
        <v>622.5</v>
      </c>
      <c r="F23" s="149" t="s">
        <v>197</v>
      </c>
      <c r="G23" s="197" t="s">
        <v>191</v>
      </c>
      <c r="H23" s="198"/>
      <c r="I23" s="79"/>
      <c r="J23" s="41"/>
      <c r="K23" s="104"/>
      <c r="L23" s="104"/>
      <c r="M23" s="104"/>
      <c r="P23" s="9"/>
    </row>
    <row r="24" spans="1:16" x14ac:dyDescent="0.25">
      <c r="B24" s="71"/>
      <c r="C24" s="75"/>
      <c r="D24" s="76"/>
      <c r="E24" s="73"/>
      <c r="F24" s="68"/>
      <c r="G24" s="123"/>
      <c r="H24" s="124"/>
      <c r="I24" s="79"/>
      <c r="J24" s="41"/>
      <c r="P24" s="9"/>
    </row>
    <row r="25" spans="1:16" x14ac:dyDescent="0.25">
      <c r="B25" s="71"/>
      <c r="C25" s="75"/>
      <c r="D25" s="76"/>
      <c r="E25" s="73"/>
      <c r="F25" s="68"/>
      <c r="G25" s="123"/>
      <c r="H25" s="124"/>
      <c r="I25" s="79"/>
      <c r="J25" s="41"/>
      <c r="P25" s="9"/>
    </row>
    <row r="26" spans="1:16" ht="16.5" customHeight="1" x14ac:dyDescent="0.25">
      <c r="B26" s="71"/>
      <c r="C26" s="75"/>
      <c r="D26" s="76"/>
      <c r="E26" s="73"/>
      <c r="F26" s="74"/>
      <c r="G26" s="147"/>
      <c r="H26" s="124"/>
      <c r="I26" s="79"/>
      <c r="J26" s="41"/>
      <c r="P26" s="9"/>
    </row>
    <row r="27" spans="1:16" ht="15" hidden="1" customHeight="1" x14ac:dyDescent="0.25">
      <c r="B27" s="9"/>
      <c r="C27" s="9"/>
      <c r="D27" s="9"/>
      <c r="E27" s="9"/>
      <c r="F27" s="9"/>
      <c r="G27" s="42"/>
      <c r="H27" s="29"/>
      <c r="I27" s="9"/>
      <c r="J27" s="9"/>
      <c r="K27" s="9"/>
      <c r="L27" s="9"/>
      <c r="M27" s="9"/>
      <c r="N27" s="9"/>
      <c r="O27" s="9"/>
      <c r="P27" s="9"/>
    </row>
    <row r="28" spans="1:16" ht="15" customHeight="1" thickBot="1" x14ac:dyDescent="0.3">
      <c r="A28" s="58"/>
      <c r="B28" s="28"/>
      <c r="C28" s="28"/>
      <c r="D28" s="129" t="s">
        <v>42</v>
      </c>
      <c r="E28" s="11">
        <f>SUM(E20:E27)</f>
        <v>4218.5</v>
      </c>
      <c r="F28" s="28"/>
      <c r="G28" s="28"/>
      <c r="H28" s="30"/>
      <c r="I28" s="9"/>
      <c r="J28" s="9"/>
      <c r="K28" s="9"/>
      <c r="L28" s="9"/>
      <c r="M28" s="9"/>
      <c r="N28" s="9"/>
      <c r="O28" s="9"/>
      <c r="P28" s="9"/>
    </row>
    <row r="29" spans="1:16" ht="15.75" thickTop="1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1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1:16" ht="15" customHeight="1" x14ac:dyDescent="0.25">
      <c r="B31" s="9"/>
      <c r="C31" s="9"/>
      <c r="D31" s="9"/>
      <c r="E31" s="46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x14ac:dyDescent="0.25">
      <c r="B32" s="9"/>
      <c r="C32" s="9"/>
      <c r="D32" s="9"/>
      <c r="E32" s="147"/>
      <c r="F32" s="147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123"/>
      <c r="F33" s="120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146"/>
      <c r="F34" s="146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9">
    <mergeCell ref="B20:B22"/>
    <mergeCell ref="G20:H22"/>
    <mergeCell ref="G23:H23"/>
    <mergeCell ref="K2:M2"/>
    <mergeCell ref="K1:M1"/>
    <mergeCell ref="F20:F22"/>
    <mergeCell ref="E20:E22"/>
    <mergeCell ref="D20:D22"/>
    <mergeCell ref="C20:C22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53.1406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78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105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9</v>
      </c>
      <c r="C7" s="65">
        <v>84.027000000000001</v>
      </c>
      <c r="D7" s="3" t="s">
        <v>133</v>
      </c>
      <c r="E7" s="3" t="s">
        <v>7</v>
      </c>
      <c r="F7" s="3" t="s">
        <v>132</v>
      </c>
      <c r="G7" s="4">
        <f>61188.38-5367.4+0.02</f>
        <v>55820.999999999993</v>
      </c>
      <c r="H7" s="48">
        <v>0</v>
      </c>
      <c r="I7" s="48">
        <f>G7+H7</f>
        <v>55820.999999999993</v>
      </c>
      <c r="J7" s="48"/>
      <c r="K7" s="48">
        <f>13543.75+29191.25+13086</f>
        <v>55821</v>
      </c>
      <c r="L7" s="48">
        <v>0</v>
      </c>
      <c r="M7" s="50">
        <f>K7+L7</f>
        <v>55821</v>
      </c>
      <c r="N7" s="3"/>
      <c r="O7" s="9"/>
      <c r="P7" s="9"/>
    </row>
    <row r="8" spans="1:16" ht="27.6" x14ac:dyDescent="0.3">
      <c r="B8" s="88" t="s">
        <v>136</v>
      </c>
      <c r="C8" s="90">
        <v>84.394999999999996</v>
      </c>
      <c r="D8" s="3" t="s">
        <v>137</v>
      </c>
      <c r="E8" s="3" t="s">
        <v>7</v>
      </c>
      <c r="F8" s="3" t="s">
        <v>138</v>
      </c>
      <c r="G8" s="53">
        <v>376.78</v>
      </c>
      <c r="H8" s="53"/>
      <c r="I8" s="53">
        <f>G8+H8</f>
        <v>376.78</v>
      </c>
      <c r="J8" s="59"/>
      <c r="K8" s="53">
        <v>376.78</v>
      </c>
      <c r="L8" s="53"/>
      <c r="M8" s="54">
        <f>K8+L8</f>
        <v>376.78</v>
      </c>
      <c r="N8" s="3"/>
      <c r="O8" s="9"/>
      <c r="P8" s="9"/>
    </row>
    <row r="9" spans="1:16" ht="14.45" x14ac:dyDescent="0.3">
      <c r="B9" s="59"/>
      <c r="C9" s="7"/>
      <c r="D9" s="3"/>
      <c r="E9" s="3"/>
      <c r="F9" s="12"/>
      <c r="G9" s="10"/>
      <c r="H9" s="10"/>
      <c r="I9" s="10"/>
      <c r="J9" s="3"/>
      <c r="K9" s="10"/>
      <c r="L9" s="10"/>
      <c r="M9" s="50"/>
      <c r="N9" s="3"/>
      <c r="O9" s="9"/>
      <c r="P9" s="9"/>
    </row>
    <row r="10" spans="1:16" ht="14.45" x14ac:dyDescent="0.3">
      <c r="B10" s="3"/>
      <c r="C10" s="7"/>
      <c r="D10" s="3"/>
      <c r="E10" s="3"/>
      <c r="F10" s="12"/>
      <c r="G10" s="10">
        <f>SUM(G7:G9)</f>
        <v>56197.779999999992</v>
      </c>
      <c r="H10" s="10">
        <f>SUM(H7:H9)</f>
        <v>0</v>
      </c>
      <c r="I10" s="10">
        <f>SUM(I7:I9)</f>
        <v>56197.779999999992</v>
      </c>
      <c r="J10" s="3"/>
      <c r="K10" s="10">
        <f>SUM(K7:K9)</f>
        <v>56197.78</v>
      </c>
      <c r="L10" s="10">
        <f>SUM(L7:L9)</f>
        <v>0</v>
      </c>
      <c r="M10" s="50">
        <f>SUM(M7:M9)</f>
        <v>56197.78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27"/>
      <c r="C13" s="27"/>
      <c r="D13" s="27"/>
      <c r="E13" s="27"/>
      <c r="F13" s="27"/>
      <c r="G13" s="27"/>
      <c r="H13" s="27"/>
      <c r="I13" s="27"/>
      <c r="J13" s="59"/>
      <c r="K13" s="27"/>
      <c r="L13" s="27"/>
      <c r="M13" s="57"/>
      <c r="N13" s="3"/>
      <c r="O13" s="9"/>
      <c r="P13" s="9"/>
    </row>
    <row r="14" spans="1:16" ht="14.4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9"/>
      <c r="P14" s="9"/>
    </row>
    <row r="15" spans="1:16" ht="14.45" x14ac:dyDescent="0.3">
      <c r="B15" s="37" t="s">
        <v>71</v>
      </c>
      <c r="C15" s="8" t="s">
        <v>2</v>
      </c>
      <c r="D15" s="8" t="s">
        <v>65</v>
      </c>
      <c r="E15" s="8" t="s">
        <v>66</v>
      </c>
      <c r="F15" s="8" t="s">
        <v>67</v>
      </c>
      <c r="G15" s="8" t="s">
        <v>68</v>
      </c>
      <c r="H15" s="90"/>
      <c r="I15" s="90"/>
      <c r="J15" s="90"/>
      <c r="K15" s="115" t="s">
        <v>183</v>
      </c>
      <c r="L15" s="103"/>
      <c r="M15" s="103"/>
      <c r="N15" s="104"/>
      <c r="O15" s="9"/>
      <c r="P15" s="9"/>
    </row>
    <row r="16" spans="1:16" ht="14.45" x14ac:dyDescent="0.3">
      <c r="B16" s="32"/>
      <c r="C16" s="33"/>
      <c r="D16" s="34"/>
      <c r="E16" s="35"/>
      <c r="F16" s="36"/>
      <c r="G16" s="63"/>
      <c r="H16" s="3"/>
      <c r="I16" s="3"/>
      <c r="J16" s="3"/>
      <c r="K16" s="104" t="s">
        <v>181</v>
      </c>
      <c r="L16" s="104"/>
      <c r="M16" s="104"/>
      <c r="N16" s="104"/>
      <c r="O16" s="9"/>
      <c r="P16" s="9"/>
    </row>
    <row r="17" spans="2:16" ht="15" customHeight="1" x14ac:dyDescent="0.3">
      <c r="B17" s="32"/>
      <c r="C17" s="75"/>
      <c r="D17" s="76"/>
      <c r="E17" s="35"/>
      <c r="F17" s="68"/>
      <c r="G17" s="63"/>
      <c r="H17" s="77"/>
      <c r="I17" s="41"/>
      <c r="J17" s="41"/>
      <c r="P17" s="9"/>
    </row>
    <row r="18" spans="2:16" ht="14.45" x14ac:dyDescent="0.3">
      <c r="B18" s="71"/>
      <c r="C18" s="75"/>
      <c r="D18" s="76"/>
      <c r="E18" s="73"/>
      <c r="F18" s="74"/>
      <c r="G18" s="69"/>
      <c r="H18" s="77"/>
      <c r="I18" s="41"/>
      <c r="J18" s="41"/>
      <c r="P18" s="9"/>
    </row>
    <row r="19" spans="2:16" ht="14.45" x14ac:dyDescent="0.3">
      <c r="B19" s="3"/>
      <c r="C19" s="75"/>
      <c r="D19" s="76"/>
      <c r="E19" s="66"/>
      <c r="F19" s="68"/>
      <c r="G19" s="63"/>
      <c r="H19" s="77"/>
      <c r="I19" s="3"/>
      <c r="J19" s="3"/>
      <c r="K19" s="9"/>
      <c r="L19" s="9"/>
      <c r="M19" s="9"/>
      <c r="P19" s="9"/>
    </row>
    <row r="20" spans="2:16" ht="14.45" x14ac:dyDescent="0.3">
      <c r="B20" s="3"/>
      <c r="C20" s="75"/>
      <c r="D20" s="76"/>
      <c r="E20" s="66"/>
      <c r="F20" s="68"/>
      <c r="G20" s="63"/>
      <c r="H20" s="78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70"/>
      <c r="H21" s="72"/>
      <c r="I21" s="72"/>
      <c r="J21" s="41"/>
      <c r="P21" s="9"/>
    </row>
    <row r="22" spans="2:16" ht="15" customHeight="1" x14ac:dyDescent="0.3">
      <c r="B22" s="71"/>
      <c r="C22" s="75"/>
      <c r="D22" s="76"/>
      <c r="E22" s="73"/>
      <c r="F22" s="68"/>
      <c r="G22" s="63"/>
      <c r="H22" s="79"/>
      <c r="I22" s="79"/>
      <c r="J22" s="41"/>
      <c r="P22" s="9"/>
    </row>
    <row r="23" spans="2:16" x14ac:dyDescent="0.25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ht="16.5" customHeight="1" x14ac:dyDescent="0.25">
      <c r="B25" s="71"/>
      <c r="C25" s="75"/>
      <c r="D25" s="76"/>
      <c r="E25" s="73"/>
      <c r="F25" s="74"/>
      <c r="G25" s="40"/>
      <c r="H25" s="79"/>
      <c r="I25" s="79"/>
      <c r="J25" s="41"/>
      <c r="P25" s="9"/>
    </row>
    <row r="26" spans="2:16" ht="15" hidden="1" customHeight="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ht="15" customHeight="1" x14ac:dyDescent="0.25">
      <c r="B27" s="9"/>
      <c r="C27" s="9"/>
      <c r="D27" s="43"/>
      <c r="E27" s="8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3"/>
      <c r="J28" s="3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ht="15" customHeight="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80" orientation="landscape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79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106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v>60398.32</v>
      </c>
      <c r="H7" s="48">
        <v>0</v>
      </c>
      <c r="I7" s="48">
        <f>G7+H7</f>
        <v>60398.32</v>
      </c>
      <c r="J7" s="48"/>
      <c r="K7" s="48">
        <f>887.83+39756.73+13797.2</f>
        <v>54441.760000000009</v>
      </c>
      <c r="L7" s="48"/>
      <c r="M7" s="50">
        <f>K7+L7</f>
        <v>54441.760000000009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4">
        <f>8587.84+0.16</f>
        <v>8588</v>
      </c>
      <c r="H8" s="48">
        <v>7514</v>
      </c>
      <c r="I8" s="48">
        <f>G8+H8</f>
        <v>16102</v>
      </c>
      <c r="J8" s="48"/>
      <c r="K8" s="48">
        <v>16102</v>
      </c>
      <c r="L8" s="48">
        <v>0</v>
      </c>
      <c r="M8" s="50">
        <f>K8+L8</f>
        <v>16102</v>
      </c>
      <c r="N8" s="3"/>
      <c r="O8" s="9"/>
      <c r="P8" s="9"/>
    </row>
    <row r="9" spans="1:16" ht="14.45" x14ac:dyDescent="0.3">
      <c r="B9" s="3" t="s">
        <v>141</v>
      </c>
      <c r="C9" s="7">
        <v>84.01</v>
      </c>
      <c r="D9" s="3" t="s">
        <v>142</v>
      </c>
      <c r="E9" s="3" t="s">
        <v>7</v>
      </c>
      <c r="F9" s="3" t="s">
        <v>143</v>
      </c>
      <c r="G9" s="53">
        <v>4071.73</v>
      </c>
      <c r="H9" s="53"/>
      <c r="I9" s="53">
        <f>G9+H9</f>
        <v>4071.73</v>
      </c>
      <c r="J9" s="59"/>
      <c r="K9" s="53">
        <f>2891.03+1180.7</f>
        <v>4071.7300000000005</v>
      </c>
      <c r="L9" s="53"/>
      <c r="M9" s="54">
        <f>K9+L9</f>
        <v>4071.7300000000005</v>
      </c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73058.05</v>
      </c>
      <c r="H11" s="10">
        <f>SUM(H7:H10)</f>
        <v>7514</v>
      </c>
      <c r="I11" s="10">
        <f>SUM(I7:I10)</f>
        <v>80572.05</v>
      </c>
      <c r="J11" s="3"/>
      <c r="K11" s="10">
        <f>SUM(K7:K10)</f>
        <v>74615.490000000005</v>
      </c>
      <c r="L11" s="10">
        <f>SUM(L7:L10)</f>
        <v>0</v>
      </c>
      <c r="M11" s="50">
        <f>SUM(M7:M10)</f>
        <v>74615.490000000005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76"/>
      <c r="E17" s="35"/>
      <c r="F17" s="36"/>
      <c r="G17" s="63"/>
      <c r="H17" s="3"/>
      <c r="I17" s="3"/>
      <c r="J17" s="3"/>
      <c r="K17" s="104" t="s">
        <v>181</v>
      </c>
      <c r="L17" s="104"/>
      <c r="M17" s="104"/>
      <c r="N17" s="104"/>
      <c r="O17" s="9"/>
      <c r="P17" s="9"/>
    </row>
    <row r="18" spans="2:16" ht="15" customHeight="1" x14ac:dyDescent="0.3">
      <c r="B18" s="32"/>
      <c r="C18" s="75"/>
      <c r="D18" s="76"/>
      <c r="E18" s="35"/>
      <c r="F18" s="68"/>
      <c r="G18" s="63"/>
      <c r="H18" s="77"/>
      <c r="I18" s="41"/>
      <c r="J18" s="41"/>
      <c r="P18" s="9"/>
    </row>
    <row r="19" spans="2:16" ht="14.45" x14ac:dyDescent="0.3">
      <c r="B19" s="71"/>
      <c r="C19" s="75"/>
      <c r="D19" s="76"/>
      <c r="E19" s="73"/>
      <c r="F19" s="74"/>
      <c r="G19" s="69"/>
      <c r="H19" s="77"/>
      <c r="I19" s="41"/>
      <c r="J19" s="41"/>
      <c r="P19" s="9"/>
    </row>
    <row r="20" spans="2:16" ht="14.45" x14ac:dyDescent="0.3">
      <c r="B20" s="3"/>
      <c r="C20" s="75"/>
      <c r="D20" s="76"/>
      <c r="E20" s="66"/>
      <c r="F20" s="68"/>
      <c r="G20" s="63"/>
      <c r="H20" s="77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63"/>
      <c r="H21" s="78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70"/>
      <c r="H22" s="72"/>
      <c r="I22" s="72"/>
      <c r="J22" s="41"/>
      <c r="P22" s="9"/>
    </row>
    <row r="23" spans="2:16" ht="15" customHeight="1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ht="16.5" customHeight="1" x14ac:dyDescent="0.25">
      <c r="B26" s="71"/>
      <c r="C26" s="75"/>
      <c r="D26" s="76"/>
      <c r="E26" s="73"/>
      <c r="F26" s="74"/>
      <c r="G26" s="40"/>
      <c r="H26" s="79"/>
      <c r="I26" s="79"/>
      <c r="J26" s="41"/>
      <c r="P26" s="9"/>
    </row>
    <row r="27" spans="2:16" ht="15" hidden="1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ht="15" customHeight="1" x14ac:dyDescent="0.25">
      <c r="B28" s="9"/>
      <c r="C28" s="9"/>
      <c r="D28" s="43"/>
      <c r="E28" s="8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ht="1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D1" zoomScaleNormal="100" workbookViewId="0">
      <selection activeCell="I8" sqref="I8"/>
    </sheetView>
  </sheetViews>
  <sheetFormatPr defaultRowHeight="15" x14ac:dyDescent="0.25"/>
  <cols>
    <col min="1" max="1" width="9.140625" hidden="1" customWidth="1"/>
    <col min="2" max="2" width="52.1406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80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107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v>43963.1</v>
      </c>
      <c r="H7" s="48">
        <v>0</v>
      </c>
      <c r="I7" s="48">
        <f>G7+H7</f>
        <v>43963.1</v>
      </c>
      <c r="J7" s="48"/>
      <c r="K7" s="48">
        <f>38693.95+1593.75+3454.77</f>
        <v>43742.469999999994</v>
      </c>
      <c r="L7" s="48">
        <v>0</v>
      </c>
      <c r="M7" s="50">
        <f>K7+L7</f>
        <v>43742.469999999994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4">
        <f>21469.61+0.39</f>
        <v>21470</v>
      </c>
      <c r="H8" s="172">
        <f>K8-G8</f>
        <v>-10698.2</v>
      </c>
      <c r="I8" s="48">
        <f>G8+H8</f>
        <v>10771.8</v>
      </c>
      <c r="J8" s="48"/>
      <c r="K8" s="48">
        <f>9114.3+1657.5</f>
        <v>10771.8</v>
      </c>
      <c r="L8" s="48">
        <v>0</v>
      </c>
      <c r="M8" s="50">
        <f>K8+L8</f>
        <v>10771.8</v>
      </c>
      <c r="N8" s="3"/>
      <c r="O8" s="9"/>
      <c r="P8" s="9"/>
    </row>
    <row r="9" spans="1:16" ht="27.6" x14ac:dyDescent="0.3">
      <c r="B9" s="88" t="s">
        <v>136</v>
      </c>
      <c r="C9" s="89">
        <v>84.394999999999996</v>
      </c>
      <c r="D9" s="89" t="s">
        <v>137</v>
      </c>
      <c r="E9" s="90" t="s">
        <v>7</v>
      </c>
      <c r="F9" s="90" t="s">
        <v>138</v>
      </c>
      <c r="G9" s="53">
        <v>150.71</v>
      </c>
      <c r="H9" s="53"/>
      <c r="I9" s="53">
        <f>G9+H9</f>
        <v>150.71</v>
      </c>
      <c r="J9" s="59"/>
      <c r="K9" s="53">
        <v>150.71</v>
      </c>
      <c r="L9" s="53"/>
      <c r="M9" s="54">
        <f>K9+L9</f>
        <v>150.71</v>
      </c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65583.81</v>
      </c>
      <c r="H11" s="174">
        <f>SUM(H7:H10)</f>
        <v>-10698.2</v>
      </c>
      <c r="I11" s="10">
        <f>SUM(I7:I10)</f>
        <v>54885.609999999993</v>
      </c>
      <c r="J11" s="3"/>
      <c r="K11" s="10">
        <f>SUM(K7:K10)</f>
        <v>54664.979999999989</v>
      </c>
      <c r="L11" s="10">
        <f>SUM(L7:L10)</f>
        <v>0</v>
      </c>
      <c r="M11" s="50">
        <f>SUM(M7:M10)</f>
        <v>54664.979999999989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76"/>
      <c r="E17" s="35">
        <f>L7</f>
        <v>0</v>
      </c>
      <c r="F17" s="36"/>
      <c r="G17" s="63"/>
      <c r="H17" s="3"/>
      <c r="I17" s="3"/>
      <c r="J17" s="3"/>
      <c r="K17" s="104" t="s">
        <v>181</v>
      </c>
      <c r="L17" s="104"/>
      <c r="M17" s="104"/>
      <c r="N17" s="104"/>
      <c r="O17" s="9"/>
      <c r="P17" s="9"/>
    </row>
    <row r="18" spans="2:16" ht="15" customHeight="1" x14ac:dyDescent="0.3">
      <c r="B18" s="32"/>
      <c r="C18" s="75"/>
      <c r="D18" s="76"/>
      <c r="E18" s="35"/>
      <c r="F18" s="68"/>
      <c r="G18" s="63"/>
      <c r="H18" s="77"/>
      <c r="I18" s="41"/>
      <c r="J18" s="41"/>
      <c r="P18" s="9"/>
    </row>
    <row r="19" spans="2:16" ht="14.45" x14ac:dyDescent="0.3">
      <c r="B19" s="71"/>
      <c r="C19" s="75"/>
      <c r="D19" s="76"/>
      <c r="E19" s="73"/>
      <c r="F19" s="74"/>
      <c r="G19" s="69"/>
      <c r="H19" s="77"/>
      <c r="I19" s="41"/>
      <c r="J19" s="41"/>
      <c r="P19" s="9"/>
    </row>
    <row r="20" spans="2:16" ht="14.45" x14ac:dyDescent="0.3">
      <c r="B20" s="3"/>
      <c r="C20" s="75"/>
      <c r="D20" s="76"/>
      <c r="E20" s="66"/>
      <c r="F20" s="68"/>
      <c r="G20" s="63"/>
      <c r="H20" s="77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63"/>
      <c r="H21" s="78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70"/>
      <c r="H22" s="72"/>
      <c r="I22" s="72"/>
      <c r="J22" s="41"/>
      <c r="P22" s="9"/>
    </row>
    <row r="23" spans="2:16" ht="15" customHeight="1" x14ac:dyDescent="0.25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ht="16.5" customHeight="1" x14ac:dyDescent="0.25">
      <c r="B26" s="71"/>
      <c r="C26" s="75"/>
      <c r="D26" s="76"/>
      <c r="E26" s="73"/>
      <c r="F26" s="74"/>
      <c r="G26" s="40"/>
      <c r="H26" s="79"/>
      <c r="I26" s="79"/>
      <c r="J26" s="41"/>
      <c r="P26" s="9"/>
    </row>
    <row r="27" spans="2:16" ht="15" hidden="1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ht="15" customHeight="1" x14ac:dyDescent="0.25">
      <c r="B28" s="9"/>
      <c r="C28" s="9"/>
      <c r="D28" s="43"/>
      <c r="E28" s="8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ht="1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81" orientation="landscape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D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15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108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v>26753.94</v>
      </c>
      <c r="H7" s="48">
        <v>0</v>
      </c>
      <c r="I7" s="48">
        <f>G7+H7</f>
        <v>26753.94</v>
      </c>
      <c r="J7" s="48"/>
      <c r="K7" s="48">
        <f>6377.7+2123.55+679.81+16794.84+549.2</f>
        <v>26525.100000000002</v>
      </c>
      <c r="L7" s="48"/>
      <c r="M7" s="50">
        <f>K7+L7</f>
        <v>26525.100000000002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146</v>
      </c>
      <c r="G8" s="4">
        <f>26837.01-1073.48+0.47</f>
        <v>25764</v>
      </c>
      <c r="H8" s="172">
        <f>K8-G8</f>
        <v>-487.83000000000175</v>
      </c>
      <c r="I8" s="48">
        <f>G8+H8</f>
        <v>25276.17</v>
      </c>
      <c r="J8" s="48"/>
      <c r="K8" s="48">
        <f>5868.19+4997.5+8413.54+5996.94</f>
        <v>25276.17</v>
      </c>
      <c r="L8" s="48">
        <v>0</v>
      </c>
      <c r="M8" s="50">
        <f>K8+L8</f>
        <v>25276.17</v>
      </c>
      <c r="N8" s="3"/>
      <c r="O8" s="9"/>
      <c r="P8" s="9"/>
    </row>
    <row r="9" spans="1:16" ht="14.45" x14ac:dyDescent="0.3">
      <c r="B9" s="3" t="s">
        <v>204</v>
      </c>
      <c r="C9" s="7">
        <v>84.01</v>
      </c>
      <c r="D9" s="3" t="s">
        <v>205</v>
      </c>
      <c r="E9" s="3" t="s">
        <v>7</v>
      </c>
      <c r="F9" s="3" t="s">
        <v>206</v>
      </c>
      <c r="G9" s="164">
        <v>3160.66</v>
      </c>
      <c r="H9" s="164"/>
      <c r="I9" s="164">
        <f>G9+H9</f>
        <v>3160.66</v>
      </c>
      <c r="J9" s="59"/>
      <c r="K9" s="164">
        <v>0</v>
      </c>
      <c r="L9" s="164"/>
      <c r="M9" s="165"/>
      <c r="N9" s="3"/>
      <c r="O9" s="9"/>
      <c r="P9" s="9"/>
    </row>
    <row r="10" spans="1:16" ht="14.45" x14ac:dyDescent="0.3">
      <c r="B10" s="3"/>
      <c r="C10" s="7"/>
      <c r="D10" s="3"/>
      <c r="E10" s="3"/>
      <c r="F10" s="3"/>
      <c r="G10" s="53"/>
      <c r="H10" s="53"/>
      <c r="I10" s="53"/>
      <c r="J10" s="59"/>
      <c r="K10" s="53"/>
      <c r="L10" s="53"/>
      <c r="M10" s="54"/>
      <c r="N10" s="3"/>
      <c r="O10" s="9"/>
      <c r="P10" s="9"/>
    </row>
    <row r="11" spans="1:16" ht="14.45" x14ac:dyDescent="0.3">
      <c r="B11" s="59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>
        <f>SUM(G7:G11)</f>
        <v>55678.600000000006</v>
      </c>
      <c r="H12" s="174">
        <f>SUM(H7:H11)</f>
        <v>-487.83000000000175</v>
      </c>
      <c r="I12" s="10">
        <f>SUM(I7:I11)</f>
        <v>55190.770000000004</v>
      </c>
      <c r="J12" s="3"/>
      <c r="K12" s="10">
        <f>SUM(K7:K11)</f>
        <v>51801.270000000004</v>
      </c>
      <c r="L12" s="10">
        <f>SUM(L7:L11)</f>
        <v>0</v>
      </c>
      <c r="M12" s="50">
        <f>SUM(M7:M11)</f>
        <v>51801.270000000004</v>
      </c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/>
      <c r="H14" s="10"/>
      <c r="I14" s="10"/>
      <c r="J14" s="3"/>
      <c r="K14" s="10"/>
      <c r="L14" s="10"/>
      <c r="M14" s="50"/>
      <c r="N14" s="3"/>
      <c r="O14" s="9"/>
      <c r="P14" s="9"/>
    </row>
    <row r="15" spans="1:16" ht="14.45" x14ac:dyDescent="0.3">
      <c r="B15" s="27"/>
      <c r="C15" s="27"/>
      <c r="D15" s="27"/>
      <c r="E15" s="27"/>
      <c r="F15" s="27"/>
      <c r="G15" s="27"/>
      <c r="H15" s="27"/>
      <c r="I15" s="27"/>
      <c r="J15" s="59"/>
      <c r="K15" s="27"/>
      <c r="L15" s="27"/>
      <c r="M15" s="57"/>
      <c r="N15" s="3"/>
      <c r="O15" s="9"/>
      <c r="P15" s="9"/>
    </row>
    <row r="16" spans="1:16" ht="14.45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9"/>
      <c r="P16" s="9"/>
    </row>
    <row r="17" spans="2:16" ht="14.45" x14ac:dyDescent="0.3">
      <c r="B17" s="37" t="s">
        <v>71</v>
      </c>
      <c r="C17" s="8" t="s">
        <v>2</v>
      </c>
      <c r="D17" s="8" t="s">
        <v>65</v>
      </c>
      <c r="E17" s="8" t="s">
        <v>66</v>
      </c>
      <c r="F17" s="8" t="s">
        <v>67</v>
      </c>
      <c r="G17" s="8" t="s">
        <v>68</v>
      </c>
      <c r="H17" s="90"/>
      <c r="I17" s="90"/>
      <c r="J17" s="90"/>
      <c r="K17" s="115" t="s">
        <v>183</v>
      </c>
      <c r="L17" s="103"/>
      <c r="M17" s="103"/>
      <c r="N17" s="104"/>
      <c r="O17" s="9"/>
      <c r="P17" s="9"/>
    </row>
    <row r="18" spans="2:16" ht="14.45" x14ac:dyDescent="0.3">
      <c r="B18" s="32"/>
      <c r="C18" s="33"/>
      <c r="D18" s="76"/>
      <c r="E18" s="35"/>
      <c r="F18" s="36"/>
      <c r="G18" s="63"/>
      <c r="H18" s="3"/>
      <c r="I18" s="3"/>
      <c r="J18" s="3"/>
      <c r="K18" s="104" t="s">
        <v>181</v>
      </c>
      <c r="L18" s="104"/>
      <c r="M18" s="104"/>
      <c r="N18" s="104"/>
      <c r="O18" s="9"/>
      <c r="P18" s="9"/>
    </row>
    <row r="19" spans="2:16" ht="15" customHeight="1" x14ac:dyDescent="0.3">
      <c r="B19" s="71"/>
      <c r="C19" s="75"/>
      <c r="D19" s="76"/>
      <c r="E19" s="73"/>
      <c r="F19" s="36"/>
      <c r="G19" s="69"/>
      <c r="H19" s="77"/>
      <c r="I19" s="41"/>
      <c r="J19" s="41"/>
      <c r="P19" s="9"/>
    </row>
    <row r="20" spans="2:16" ht="14.45" x14ac:dyDescent="0.3">
      <c r="B20" s="71"/>
      <c r="C20" s="75"/>
      <c r="D20" s="76"/>
      <c r="E20" s="73"/>
      <c r="F20" s="74"/>
      <c r="G20" s="69"/>
      <c r="H20" s="77"/>
      <c r="I20" s="41"/>
      <c r="J20" s="41"/>
      <c r="P20" s="9"/>
    </row>
    <row r="21" spans="2:16" ht="14.45" x14ac:dyDescent="0.3">
      <c r="B21" s="3"/>
      <c r="C21" s="75"/>
      <c r="D21" s="76"/>
      <c r="E21" s="66"/>
      <c r="F21" s="68"/>
      <c r="G21" s="63"/>
      <c r="H21" s="77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63"/>
      <c r="H22" s="78"/>
      <c r="I22" s="3"/>
      <c r="J22" s="3"/>
      <c r="K22" s="9"/>
      <c r="L22" s="9"/>
      <c r="M22" s="9"/>
      <c r="P22" s="9"/>
    </row>
    <row r="23" spans="2:16" ht="14.45" x14ac:dyDescent="0.3">
      <c r="B23" s="3"/>
      <c r="C23" s="75"/>
      <c r="D23" s="76"/>
      <c r="E23" s="66"/>
      <c r="F23" s="68"/>
      <c r="G23" s="70"/>
      <c r="H23" s="72"/>
      <c r="I23" s="72"/>
      <c r="J23" s="41"/>
      <c r="P23" s="9"/>
    </row>
    <row r="24" spans="2:16" ht="15" customHeight="1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x14ac:dyDescent="0.25">
      <c r="B26" s="71"/>
      <c r="C26" s="75"/>
      <c r="D26" s="76"/>
      <c r="E26" s="73"/>
      <c r="F26" s="68"/>
      <c r="G26" s="63"/>
      <c r="H26" s="79"/>
      <c r="I26" s="79"/>
      <c r="J26" s="41"/>
      <c r="P26" s="9"/>
    </row>
    <row r="27" spans="2:16" ht="16.5" customHeight="1" x14ac:dyDescent="0.25">
      <c r="B27" s="71"/>
      <c r="C27" s="75"/>
      <c r="D27" s="76"/>
      <c r="E27" s="73"/>
      <c r="F27" s="74"/>
      <c r="G27" s="40"/>
      <c r="H27" s="79"/>
      <c r="I27" s="79"/>
      <c r="J27" s="41"/>
      <c r="P27" s="9"/>
    </row>
    <row r="28" spans="2:16" ht="15" hidden="1" customHeight="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ht="15" customHeight="1" x14ac:dyDescent="0.25">
      <c r="B29" s="9"/>
      <c r="C29" s="9"/>
      <c r="D29" s="43"/>
      <c r="E29" s="8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3"/>
      <c r="J31" s="3"/>
      <c r="K31" s="9"/>
      <c r="L31" s="9"/>
      <c r="M31" s="9"/>
      <c r="N31" s="9"/>
      <c r="O31" s="9"/>
      <c r="P31" s="9"/>
    </row>
    <row r="32" spans="2:16" ht="15" customHeight="1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154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155</v>
      </c>
      <c r="C3" s="15"/>
      <c r="D3" s="15"/>
      <c r="E3" s="3"/>
      <c r="F3" s="3"/>
      <c r="G3" s="3"/>
      <c r="H3" s="3"/>
      <c r="I3" s="3"/>
      <c r="J3" s="59"/>
      <c r="K3" s="90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6" t="s">
        <v>1</v>
      </c>
      <c r="C6" s="86" t="s">
        <v>2</v>
      </c>
      <c r="D6" s="86" t="s">
        <v>3</v>
      </c>
      <c r="E6" s="86" t="s">
        <v>4</v>
      </c>
      <c r="F6" s="86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v>32047.52</v>
      </c>
      <c r="H7" s="48">
        <v>0</v>
      </c>
      <c r="I7" s="48">
        <f>G7+H7</f>
        <v>32047.52</v>
      </c>
      <c r="J7" s="48"/>
      <c r="K7" s="48">
        <f>3319.16+7180.5+14955.22+6592.64</f>
        <v>32047.519999999997</v>
      </c>
      <c r="L7" s="48"/>
      <c r="M7" s="50">
        <f>K7+L7</f>
        <v>32047.519999999997</v>
      </c>
      <c r="N7" s="3"/>
      <c r="O7" s="9"/>
      <c r="P7" s="9"/>
    </row>
    <row r="8" spans="1:16" ht="14.45" x14ac:dyDescent="0.3">
      <c r="B8" s="3" t="s">
        <v>9</v>
      </c>
      <c r="C8" s="90">
        <v>84.027000000000001</v>
      </c>
      <c r="D8" s="3" t="s">
        <v>133</v>
      </c>
      <c r="E8" s="3" t="s">
        <v>7</v>
      </c>
      <c r="F8" s="3" t="s">
        <v>146</v>
      </c>
      <c r="G8" s="4">
        <f>4061+85037.86+14495.33+0.14</f>
        <v>103594.33</v>
      </c>
      <c r="H8" s="172">
        <f>-1.08</f>
        <v>-1.08</v>
      </c>
      <c r="I8" s="48">
        <f>G8+H8</f>
        <v>103593.25</v>
      </c>
      <c r="J8" s="48"/>
      <c r="K8" s="48">
        <f>4061+12545.91+13565.13+8808.28+929.12+63683.41</f>
        <v>103592.85</v>
      </c>
      <c r="L8" s="48"/>
      <c r="M8" s="50">
        <f>K8+L8</f>
        <v>103592.85</v>
      </c>
      <c r="N8" s="3"/>
      <c r="O8" s="9"/>
      <c r="P8" s="9"/>
    </row>
    <row r="9" spans="1:16" ht="14.45" x14ac:dyDescent="0.3">
      <c r="B9" s="3" t="s">
        <v>43</v>
      </c>
      <c r="C9" s="7">
        <v>84.281999999999996</v>
      </c>
      <c r="D9" s="3" t="s">
        <v>156</v>
      </c>
      <c r="E9" s="3" t="s">
        <v>7</v>
      </c>
      <c r="F9" s="3" t="s">
        <v>151</v>
      </c>
      <c r="G9" s="13">
        <v>175000</v>
      </c>
      <c r="H9" s="48"/>
      <c r="I9" s="48">
        <f>G9+H9</f>
        <v>175000</v>
      </c>
      <c r="J9" s="59"/>
      <c r="K9" s="48">
        <f>16340+56209.75+12718.11+24848.05+4866</f>
        <v>114981.91</v>
      </c>
      <c r="L9" s="48"/>
      <c r="M9" s="50">
        <f>K9+L9</f>
        <v>114981.91</v>
      </c>
      <c r="N9" s="3"/>
      <c r="O9" s="9"/>
      <c r="P9" s="9"/>
    </row>
    <row r="10" spans="1:16" ht="14.45" x14ac:dyDescent="0.3">
      <c r="B10" s="3"/>
      <c r="C10" s="7"/>
      <c r="D10" s="3"/>
      <c r="E10" s="3"/>
      <c r="F10" s="3"/>
      <c r="G10" s="67"/>
      <c r="H10" s="53"/>
      <c r="I10" s="53"/>
      <c r="J10" s="59"/>
      <c r="K10" s="53"/>
      <c r="L10" s="53"/>
      <c r="M10" s="54"/>
      <c r="N10" s="3"/>
      <c r="O10" s="9"/>
      <c r="P10" s="9"/>
    </row>
    <row r="11" spans="1:16" ht="14.45" x14ac:dyDescent="0.3">
      <c r="B11" s="59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>
        <f>SUM(G7:G11)</f>
        <v>310641.84999999998</v>
      </c>
      <c r="H12" s="174">
        <f>SUM(H7:H11)</f>
        <v>-1.08</v>
      </c>
      <c r="I12" s="10">
        <f>SUM(I7:I11)</f>
        <v>310640.77</v>
      </c>
      <c r="J12" s="3"/>
      <c r="K12" s="10">
        <f>SUM(K7:K11)</f>
        <v>250622.28</v>
      </c>
      <c r="L12" s="10">
        <f>SUM(L7:L11)</f>
        <v>0</v>
      </c>
      <c r="M12" s="50">
        <f>SUM(M7:M11)</f>
        <v>250622.28</v>
      </c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/>
      <c r="H14" s="10"/>
      <c r="I14" s="10"/>
      <c r="J14" s="3"/>
      <c r="K14" s="10"/>
      <c r="L14" s="10"/>
      <c r="M14" s="50"/>
      <c r="N14" s="3"/>
      <c r="O14" s="9"/>
      <c r="P14" s="9"/>
    </row>
    <row r="15" spans="1:16" ht="14.45" x14ac:dyDescent="0.3">
      <c r="B15" s="27"/>
      <c r="C15" s="27"/>
      <c r="D15" s="27"/>
      <c r="E15" s="27"/>
      <c r="F15" s="27"/>
      <c r="G15" s="27"/>
      <c r="H15" s="27"/>
      <c r="I15" s="27"/>
      <c r="J15" s="59"/>
      <c r="K15" s="27"/>
      <c r="L15" s="27"/>
      <c r="M15" s="57"/>
      <c r="N15" s="3"/>
      <c r="O15" s="9"/>
      <c r="P15" s="9"/>
    </row>
    <row r="16" spans="1:16" ht="14.45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9"/>
      <c r="P16" s="9"/>
    </row>
    <row r="17" spans="2:16" ht="14.45" x14ac:dyDescent="0.3">
      <c r="B17" s="37" t="s">
        <v>71</v>
      </c>
      <c r="C17" s="86" t="s">
        <v>2</v>
      </c>
      <c r="D17" s="86" t="s">
        <v>65</v>
      </c>
      <c r="E17" s="86" t="s">
        <v>66</v>
      </c>
      <c r="F17" s="86" t="s">
        <v>67</v>
      </c>
      <c r="G17" s="86" t="s">
        <v>68</v>
      </c>
      <c r="H17" s="3"/>
      <c r="I17" s="3"/>
      <c r="J17" s="3"/>
      <c r="K17" s="114" t="s">
        <v>183</v>
      </c>
      <c r="L17" s="104"/>
      <c r="M17" s="104"/>
      <c r="N17" s="3"/>
      <c r="O17" s="9"/>
      <c r="P17" s="9"/>
    </row>
    <row r="18" spans="2:16" ht="14.45" x14ac:dyDescent="0.3">
      <c r="B18" s="32"/>
      <c r="C18" s="33"/>
      <c r="D18" s="76"/>
      <c r="E18" s="35"/>
      <c r="F18" s="36"/>
      <c r="G18" s="63"/>
      <c r="H18" s="90"/>
      <c r="I18" s="90"/>
      <c r="J18" s="90"/>
      <c r="K18" s="104" t="s">
        <v>181</v>
      </c>
      <c r="L18" s="104"/>
      <c r="M18" s="104"/>
      <c r="N18" s="104"/>
      <c r="O18" s="9"/>
      <c r="P18" s="9"/>
    </row>
    <row r="19" spans="2:16" ht="15" customHeight="1" x14ac:dyDescent="0.3">
      <c r="B19" s="71"/>
      <c r="C19" s="75"/>
      <c r="D19" s="76"/>
      <c r="E19" s="73"/>
      <c r="F19" s="36"/>
      <c r="G19" s="69"/>
      <c r="H19" s="77"/>
      <c r="I19" s="41"/>
      <c r="J19" s="41"/>
      <c r="K19" s="104"/>
      <c r="L19" s="104"/>
      <c r="M19" s="104"/>
      <c r="N19" s="104"/>
      <c r="P19" s="9"/>
    </row>
    <row r="20" spans="2:16" ht="14.45" x14ac:dyDescent="0.3">
      <c r="B20" s="71"/>
      <c r="C20" s="75"/>
      <c r="D20" s="76"/>
      <c r="E20" s="73"/>
      <c r="F20" s="74"/>
      <c r="G20" s="69"/>
      <c r="H20" s="77"/>
      <c r="I20" s="41"/>
      <c r="J20" s="41"/>
      <c r="P20" s="9"/>
    </row>
    <row r="21" spans="2:16" ht="14.45" x14ac:dyDescent="0.3">
      <c r="B21" s="3"/>
      <c r="C21" s="75"/>
      <c r="D21" s="76"/>
      <c r="E21" s="66"/>
      <c r="F21" s="68"/>
      <c r="G21" s="63"/>
      <c r="H21" s="77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63"/>
      <c r="H22" s="78"/>
      <c r="I22" s="3"/>
      <c r="J22" s="3"/>
      <c r="K22" s="9"/>
      <c r="L22" s="9"/>
      <c r="M22" s="9"/>
      <c r="P22" s="9"/>
    </row>
    <row r="23" spans="2:16" ht="14.45" x14ac:dyDescent="0.3">
      <c r="B23" s="3"/>
      <c r="C23" s="75"/>
      <c r="D23" s="76"/>
      <c r="E23" s="66"/>
      <c r="F23" s="68"/>
      <c r="G23" s="70"/>
      <c r="H23" s="72"/>
      <c r="I23" s="72"/>
      <c r="J23" s="41"/>
      <c r="P23" s="9"/>
    </row>
    <row r="24" spans="2:16" ht="15" customHeight="1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x14ac:dyDescent="0.25">
      <c r="B26" s="71"/>
      <c r="C26" s="75"/>
      <c r="D26" s="76"/>
      <c r="E26" s="73"/>
      <c r="F26" s="68"/>
      <c r="G26" s="63"/>
      <c r="H26" s="79"/>
      <c r="I26" s="79"/>
      <c r="J26" s="41"/>
      <c r="P26" s="9"/>
    </row>
    <row r="27" spans="2:16" ht="16.5" customHeight="1" x14ac:dyDescent="0.25">
      <c r="B27" s="71"/>
      <c r="C27" s="75"/>
      <c r="D27" s="76"/>
      <c r="E27" s="73"/>
      <c r="F27" s="74"/>
      <c r="G27" s="40"/>
      <c r="H27" s="79"/>
      <c r="I27" s="79"/>
      <c r="J27" s="41"/>
      <c r="P27" s="9"/>
    </row>
    <row r="28" spans="2:16" ht="15" hidden="1" customHeight="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ht="15" customHeight="1" x14ac:dyDescent="0.25">
      <c r="B29" s="9"/>
      <c r="C29" s="9"/>
      <c r="D29" s="43"/>
      <c r="E29" s="8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3"/>
      <c r="J31" s="3"/>
      <c r="K31" s="9"/>
      <c r="L31" s="9"/>
      <c r="M31" s="9"/>
      <c r="N31" s="9"/>
      <c r="O31" s="9"/>
      <c r="P31" s="9"/>
    </row>
    <row r="32" spans="2:16" ht="15" customHeight="1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</sheetData>
  <mergeCells count="2">
    <mergeCell ref="K1:M1"/>
    <mergeCell ref="K2:M2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81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109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7">
        <v>84.027000000000001</v>
      </c>
      <c r="D7" s="3" t="s">
        <v>31</v>
      </c>
      <c r="E7" s="3" t="s">
        <v>7</v>
      </c>
      <c r="F7" s="3" t="s">
        <v>132</v>
      </c>
      <c r="G7" s="162">
        <v>96613</v>
      </c>
      <c r="H7" s="172">
        <f>-G7+42197.82-10000</f>
        <v>-64415.18</v>
      </c>
      <c r="I7" s="48">
        <f>G7+H7</f>
        <v>32197.82</v>
      </c>
      <c r="J7" s="48"/>
      <c r="K7" s="48">
        <f>10156.25</f>
        <v>10156.25</v>
      </c>
      <c r="L7" s="48">
        <v>0</v>
      </c>
      <c r="M7" s="50">
        <f>K7+L7</f>
        <v>10156.25</v>
      </c>
      <c r="N7" s="3"/>
      <c r="O7" s="9"/>
      <c r="P7" s="9"/>
    </row>
    <row r="8" spans="1:16" ht="14.45" x14ac:dyDescent="0.3">
      <c r="B8" s="3" t="s">
        <v>43</v>
      </c>
      <c r="C8" s="7">
        <v>84.281999999999996</v>
      </c>
      <c r="D8" s="3" t="s">
        <v>58</v>
      </c>
      <c r="E8" s="3" t="s">
        <v>7</v>
      </c>
      <c r="F8" s="3" t="s">
        <v>170</v>
      </c>
      <c r="G8" s="4">
        <v>175000</v>
      </c>
      <c r="H8" s="48">
        <v>250000</v>
      </c>
      <c r="I8" s="48">
        <f>G8+H8</f>
        <v>425000</v>
      </c>
      <c r="J8" s="48"/>
      <c r="K8" s="48">
        <f>90282.06+84717.94+237995</f>
        <v>412995</v>
      </c>
      <c r="L8" s="48">
        <v>0</v>
      </c>
      <c r="M8" s="50">
        <f>K8+L8</f>
        <v>412995</v>
      </c>
      <c r="N8" s="3"/>
      <c r="O8" s="9"/>
      <c r="P8" s="9"/>
    </row>
    <row r="9" spans="1:16" ht="14.45" x14ac:dyDescent="0.3">
      <c r="B9" s="3"/>
      <c r="C9" s="65"/>
      <c r="D9" s="3"/>
      <c r="E9" s="3"/>
      <c r="F9" s="3"/>
      <c r="G9" s="53"/>
      <c r="H9" s="53"/>
      <c r="I9" s="53"/>
      <c r="J9" s="27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271613</v>
      </c>
      <c r="H11" s="10">
        <f>SUM(H7:H10)</f>
        <v>185584.82</v>
      </c>
      <c r="I11" s="10">
        <f>SUM(I7:I10)</f>
        <v>457197.82</v>
      </c>
      <c r="J11" s="3"/>
      <c r="K11" s="10">
        <f>SUM(K7:K10)</f>
        <v>423151.25</v>
      </c>
      <c r="L11" s="10">
        <f>SUM(L7:L10)</f>
        <v>0</v>
      </c>
      <c r="M11" s="50">
        <f>SUM(M7:M10)</f>
        <v>423151.25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59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76"/>
      <c r="E17" s="35"/>
      <c r="F17" s="36"/>
      <c r="G17" s="63"/>
      <c r="H17" s="3"/>
      <c r="I17" s="3"/>
      <c r="J17" s="3"/>
      <c r="K17" s="104" t="s">
        <v>181</v>
      </c>
      <c r="L17" s="104"/>
      <c r="M17" s="104"/>
      <c r="N17" s="104"/>
      <c r="O17" s="9"/>
      <c r="P17" s="9"/>
    </row>
    <row r="18" spans="2:16" ht="15" customHeight="1" x14ac:dyDescent="0.3">
      <c r="B18" s="71"/>
      <c r="C18" s="75"/>
      <c r="D18" s="76"/>
      <c r="E18" s="73"/>
      <c r="F18" s="36"/>
      <c r="G18" s="69"/>
      <c r="H18" s="77"/>
      <c r="I18" s="41"/>
      <c r="J18" s="41"/>
      <c r="P18" s="9"/>
    </row>
    <row r="19" spans="2:16" ht="14.45" x14ac:dyDescent="0.3">
      <c r="B19" s="71"/>
      <c r="C19" s="75"/>
      <c r="D19" s="76"/>
      <c r="E19" s="73"/>
      <c r="F19" s="74"/>
      <c r="G19" s="69"/>
      <c r="H19" s="77"/>
      <c r="I19" s="41"/>
      <c r="J19" s="41"/>
      <c r="P19" s="9"/>
    </row>
    <row r="20" spans="2:16" ht="14.45" x14ac:dyDescent="0.3">
      <c r="B20" s="3"/>
      <c r="C20" s="75"/>
      <c r="D20" s="76"/>
      <c r="E20" s="66"/>
      <c r="F20" s="68"/>
      <c r="G20" s="63"/>
      <c r="H20" s="77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63"/>
      <c r="H21" s="78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70"/>
      <c r="H22" s="72"/>
      <c r="I22" s="72"/>
      <c r="J22" s="41"/>
      <c r="P22" s="9"/>
    </row>
    <row r="23" spans="2:16" ht="15" customHeight="1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ht="16.5" customHeight="1" x14ac:dyDescent="0.25">
      <c r="B26" s="71"/>
      <c r="C26" s="75"/>
      <c r="D26" s="76"/>
      <c r="E26" s="73"/>
      <c r="F26" s="74"/>
      <c r="G26" s="40"/>
      <c r="H26" s="79"/>
      <c r="I26" s="79"/>
      <c r="J26" s="41"/>
      <c r="P26" s="9"/>
    </row>
    <row r="27" spans="2:16" ht="15" hidden="1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ht="15" customHeight="1" x14ac:dyDescent="0.25">
      <c r="B28" s="9"/>
      <c r="C28" s="9"/>
      <c r="D28" s="43"/>
      <c r="E28" s="8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ht="1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16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110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f>18965.27+37252.62</f>
        <v>56217.89</v>
      </c>
      <c r="H7" s="48">
        <v>0</v>
      </c>
      <c r="I7" s="48">
        <f>G7+H7</f>
        <v>56217.89</v>
      </c>
      <c r="J7" s="48"/>
      <c r="K7" s="48">
        <f>15789.06+13934.76+26485.34</f>
        <v>56209.16</v>
      </c>
      <c r="L7" s="48"/>
      <c r="M7" s="50">
        <f>K7+L7</f>
        <v>56209.16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4">
        <f>13607.5+1420+3562.77+99107.93-2146.96+0.23</f>
        <v>115551.46999999999</v>
      </c>
      <c r="H8" s="172">
        <f>K8-G8</f>
        <v>-0.46999999998661224</v>
      </c>
      <c r="I8" s="48">
        <f>G8+H8</f>
        <v>115551</v>
      </c>
      <c r="J8" s="48"/>
      <c r="K8" s="48">
        <f>13607.5+1420+27092.46+1150+38685.16+33595.88</f>
        <v>115551</v>
      </c>
      <c r="L8" s="48">
        <v>0</v>
      </c>
      <c r="M8" s="50">
        <f>K8+L8</f>
        <v>115551</v>
      </c>
      <c r="N8" s="3"/>
      <c r="O8" s="9"/>
      <c r="P8" s="9"/>
    </row>
    <row r="9" spans="1:16" ht="14.45" x14ac:dyDescent="0.3">
      <c r="B9" s="3"/>
      <c r="C9" s="65"/>
      <c r="D9" s="3"/>
      <c r="E9" s="3"/>
      <c r="F9" s="3"/>
      <c r="G9" s="53"/>
      <c r="H9" s="53"/>
      <c r="I9" s="53"/>
      <c r="J9" s="27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171769.36</v>
      </c>
      <c r="H11" s="174">
        <f>SUM(H7:H10)</f>
        <v>-0.46999999998661224</v>
      </c>
      <c r="I11" s="10">
        <f>SUM(I7:I10)</f>
        <v>171768.89</v>
      </c>
      <c r="J11" s="3"/>
      <c r="K11" s="10">
        <f>SUM(K7:K10)</f>
        <v>171760.16</v>
      </c>
      <c r="L11" s="10">
        <f>SUM(L7:L10)</f>
        <v>0</v>
      </c>
      <c r="M11" s="50">
        <f>SUM(M7:M10)</f>
        <v>171760.16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59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90"/>
      <c r="I15" s="90"/>
      <c r="J15" s="90"/>
      <c r="K15" s="115"/>
      <c r="L15" s="103"/>
      <c r="M15" s="103"/>
      <c r="N15" s="104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3"/>
      <c r="I16" s="3"/>
      <c r="J16" s="3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76"/>
      <c r="E17" s="35"/>
      <c r="F17" s="36"/>
      <c r="G17" s="63"/>
      <c r="H17" s="3"/>
      <c r="I17" s="3"/>
      <c r="J17" s="3"/>
      <c r="K17" s="104" t="s">
        <v>181</v>
      </c>
      <c r="L17" s="104"/>
      <c r="M17" s="104"/>
      <c r="N17" s="3"/>
      <c r="O17" s="9"/>
      <c r="P17" s="9"/>
    </row>
    <row r="18" spans="2:16" ht="15" customHeight="1" x14ac:dyDescent="0.3">
      <c r="B18" s="71"/>
      <c r="C18" s="75"/>
      <c r="D18" s="76"/>
      <c r="E18" s="73"/>
      <c r="F18" s="36"/>
      <c r="G18" s="69"/>
      <c r="H18" s="77"/>
      <c r="I18" s="41"/>
      <c r="J18" s="41"/>
      <c r="P18" s="9"/>
    </row>
    <row r="19" spans="2:16" ht="14.45" x14ac:dyDescent="0.3">
      <c r="B19" s="71"/>
      <c r="C19" s="75"/>
      <c r="D19" s="76"/>
      <c r="E19" s="73"/>
      <c r="F19" s="74"/>
      <c r="G19" s="69"/>
      <c r="H19" s="77"/>
      <c r="I19" s="41"/>
      <c r="J19" s="41"/>
      <c r="P19" s="9"/>
    </row>
    <row r="20" spans="2:16" ht="14.45" x14ac:dyDescent="0.3">
      <c r="B20" s="3"/>
      <c r="C20" s="75"/>
      <c r="D20" s="76"/>
      <c r="E20" s="66"/>
      <c r="F20" s="68"/>
      <c r="G20" s="63"/>
      <c r="H20" s="77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63"/>
      <c r="H21" s="78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70"/>
      <c r="H22" s="72"/>
      <c r="I22" s="72"/>
      <c r="J22" s="41"/>
      <c r="P22" s="9"/>
    </row>
    <row r="23" spans="2:16" ht="15" customHeight="1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ht="16.5" customHeight="1" x14ac:dyDescent="0.25">
      <c r="B26" s="71"/>
      <c r="C26" s="75"/>
      <c r="D26" s="76"/>
      <c r="E26" s="73"/>
      <c r="F26" s="74"/>
      <c r="G26" s="40"/>
      <c r="H26" s="79"/>
      <c r="I26" s="79"/>
      <c r="J26" s="41"/>
      <c r="P26" s="9"/>
    </row>
    <row r="27" spans="2:16" ht="15" hidden="1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ht="15" customHeight="1" x14ac:dyDescent="0.25">
      <c r="B28" s="9"/>
      <c r="C28" s="9"/>
      <c r="D28" s="43"/>
      <c r="E28" s="8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ht="1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39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111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9</v>
      </c>
      <c r="C7" s="65">
        <v>84.027000000000001</v>
      </c>
      <c r="D7" s="3" t="s">
        <v>133</v>
      </c>
      <c r="E7" s="3" t="s">
        <v>7</v>
      </c>
      <c r="F7" s="3" t="s">
        <v>132</v>
      </c>
      <c r="G7" s="4"/>
      <c r="H7" s="48">
        <v>0</v>
      </c>
      <c r="I7" s="48">
        <f>G7+H7</f>
        <v>0</v>
      </c>
      <c r="J7" s="48"/>
      <c r="K7" s="48"/>
      <c r="L7" s="48">
        <v>0</v>
      </c>
      <c r="M7" s="50">
        <f>K7+L7</f>
        <v>0</v>
      </c>
      <c r="N7" s="3"/>
      <c r="O7" s="9"/>
      <c r="P7" s="9"/>
    </row>
    <row r="8" spans="1:16" ht="14.45" x14ac:dyDescent="0.3">
      <c r="B8" s="3"/>
      <c r="C8" s="65"/>
      <c r="D8" s="3"/>
      <c r="E8" s="3"/>
      <c r="F8" s="3"/>
      <c r="G8" s="53"/>
      <c r="H8" s="53"/>
      <c r="I8" s="53">
        <f>G8+H8</f>
        <v>0</v>
      </c>
      <c r="J8" s="59"/>
      <c r="K8" s="53"/>
      <c r="L8" s="53"/>
      <c r="M8" s="54"/>
      <c r="N8" s="3"/>
      <c r="O8" s="9"/>
      <c r="P8" s="9"/>
    </row>
    <row r="9" spans="1:16" ht="14.45" x14ac:dyDescent="0.3">
      <c r="B9" s="59"/>
      <c r="C9" s="7"/>
      <c r="D9" s="3"/>
      <c r="E9" s="3"/>
      <c r="F9" s="12"/>
      <c r="G9" s="10"/>
      <c r="H9" s="10"/>
      <c r="I9" s="10"/>
      <c r="J9" s="3"/>
      <c r="K9" s="10"/>
      <c r="L9" s="10"/>
      <c r="M9" s="50"/>
      <c r="N9" s="3"/>
      <c r="O9" s="9"/>
      <c r="P9" s="9"/>
    </row>
    <row r="10" spans="1:16" ht="14.45" x14ac:dyDescent="0.3">
      <c r="B10" s="3"/>
      <c r="C10" s="7"/>
      <c r="D10" s="3"/>
      <c r="E10" s="3"/>
      <c r="F10" s="12"/>
      <c r="G10" s="10">
        <f>SUM(G7:G9)</f>
        <v>0</v>
      </c>
      <c r="H10" s="10">
        <f>SUM(H7:H9)</f>
        <v>0</v>
      </c>
      <c r="I10" s="10">
        <f>SUM(I7:I9)</f>
        <v>0</v>
      </c>
      <c r="J10" s="3"/>
      <c r="K10" s="10">
        <f>SUM(K7:K9)</f>
        <v>0</v>
      </c>
      <c r="L10" s="10">
        <f>SUM(L7:L9)</f>
        <v>0</v>
      </c>
      <c r="M10" s="50">
        <f>SUM(M7:M9)</f>
        <v>0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27"/>
      <c r="C13" s="27"/>
      <c r="D13" s="27"/>
      <c r="E13" s="27"/>
      <c r="F13" s="27"/>
      <c r="G13" s="27"/>
      <c r="H13" s="27"/>
      <c r="I13" s="27"/>
      <c r="J13" s="59"/>
      <c r="K13" s="27"/>
      <c r="L13" s="27"/>
      <c r="M13" s="57"/>
      <c r="N13" s="3"/>
      <c r="O13" s="9"/>
      <c r="P13" s="9"/>
    </row>
    <row r="14" spans="1:16" ht="14.4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9"/>
      <c r="P14" s="9"/>
    </row>
    <row r="15" spans="1:16" ht="14.45" x14ac:dyDescent="0.3">
      <c r="B15" s="37" t="s">
        <v>71</v>
      </c>
      <c r="C15" s="8" t="s">
        <v>2</v>
      </c>
      <c r="D15" s="8" t="s">
        <v>65</v>
      </c>
      <c r="E15" s="8" t="s">
        <v>66</v>
      </c>
      <c r="F15" s="8" t="s">
        <v>67</v>
      </c>
      <c r="G15" s="8" t="s">
        <v>68</v>
      </c>
      <c r="H15" s="3"/>
      <c r="I15" s="3"/>
      <c r="J15" s="3"/>
      <c r="K15" s="114" t="s">
        <v>183</v>
      </c>
      <c r="L15" s="104"/>
      <c r="M15" s="104"/>
      <c r="N15" s="3"/>
      <c r="O15" s="9"/>
      <c r="P15" s="9"/>
    </row>
    <row r="16" spans="1:16" ht="14.45" x14ac:dyDescent="0.3">
      <c r="B16" s="32"/>
      <c r="C16" s="33"/>
      <c r="D16" s="76"/>
      <c r="E16" s="35"/>
      <c r="F16" s="36"/>
      <c r="G16" s="63"/>
      <c r="H16" s="90"/>
      <c r="I16" s="90"/>
      <c r="J16" s="90"/>
      <c r="K16" s="104" t="s">
        <v>181</v>
      </c>
      <c r="L16" s="104"/>
      <c r="M16" s="104"/>
      <c r="N16" s="104"/>
      <c r="O16" s="9"/>
      <c r="P16" s="9"/>
    </row>
    <row r="17" spans="2:16" ht="15" customHeight="1" x14ac:dyDescent="0.3">
      <c r="B17" s="71"/>
      <c r="C17" s="75"/>
      <c r="D17" s="76"/>
      <c r="E17" s="73"/>
      <c r="F17" s="36"/>
      <c r="G17" s="69"/>
      <c r="H17" s="77"/>
      <c r="I17" s="41"/>
      <c r="J17" s="41"/>
      <c r="K17" s="104"/>
      <c r="L17" s="104"/>
      <c r="M17" s="104"/>
      <c r="N17" s="104"/>
      <c r="P17" s="9"/>
    </row>
    <row r="18" spans="2:16" ht="14.45" x14ac:dyDescent="0.3">
      <c r="B18" s="71"/>
      <c r="C18" s="75"/>
      <c r="D18" s="76"/>
      <c r="E18" s="73"/>
      <c r="F18" s="74"/>
      <c r="G18" s="69"/>
      <c r="H18" s="77"/>
      <c r="I18" s="41"/>
      <c r="J18" s="41"/>
      <c r="P18" s="9"/>
    </row>
    <row r="19" spans="2:16" ht="14.45" x14ac:dyDescent="0.3">
      <c r="B19" s="3"/>
      <c r="C19" s="75"/>
      <c r="D19" s="76"/>
      <c r="E19" s="66"/>
      <c r="F19" s="68"/>
      <c r="G19" s="63"/>
      <c r="H19" s="77"/>
      <c r="I19" s="3"/>
      <c r="J19" s="3"/>
      <c r="K19" s="9"/>
      <c r="L19" s="9"/>
      <c r="M19" s="9"/>
      <c r="P19" s="9"/>
    </row>
    <row r="20" spans="2:16" ht="14.45" x14ac:dyDescent="0.3">
      <c r="B20" s="3"/>
      <c r="C20" s="75"/>
      <c r="D20" s="76"/>
      <c r="E20" s="66"/>
      <c r="F20" s="68"/>
      <c r="G20" s="63"/>
      <c r="H20" s="78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70"/>
      <c r="H21" s="72"/>
      <c r="I21" s="72"/>
      <c r="J21" s="41"/>
      <c r="P21" s="9"/>
    </row>
    <row r="22" spans="2:16" ht="15" customHeight="1" x14ac:dyDescent="0.3">
      <c r="B22" s="71"/>
      <c r="C22" s="75"/>
      <c r="D22" s="76"/>
      <c r="E22" s="73"/>
      <c r="F22" s="68"/>
      <c r="G22" s="63"/>
      <c r="H22" s="79"/>
      <c r="I22" s="79"/>
      <c r="J22" s="41"/>
      <c r="P22" s="9"/>
    </row>
    <row r="23" spans="2:16" ht="14.45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ht="16.5" customHeight="1" x14ac:dyDescent="0.25">
      <c r="B25" s="71"/>
      <c r="C25" s="75"/>
      <c r="D25" s="76"/>
      <c r="E25" s="73"/>
      <c r="F25" s="74"/>
      <c r="G25" s="40"/>
      <c r="H25" s="79"/>
      <c r="I25" s="79"/>
      <c r="J25" s="41"/>
      <c r="P25" s="9"/>
    </row>
    <row r="26" spans="2:16" ht="15" hidden="1" customHeight="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ht="15" customHeight="1" x14ac:dyDescent="0.25">
      <c r="B27" s="9"/>
      <c r="C27" s="9"/>
      <c r="D27" s="43"/>
      <c r="E27" s="8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3"/>
      <c r="J28" s="3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ht="15" customHeight="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82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112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f>153280.41+70289.87</f>
        <v>223570.28</v>
      </c>
      <c r="H7" s="48">
        <v>0</v>
      </c>
      <c r="I7" s="48">
        <f>G7+H7</f>
        <v>223570.28</v>
      </c>
      <c r="J7" s="48"/>
      <c r="K7" s="48">
        <f>42967.23+48743.34+103138.94+27921.77+799</f>
        <v>223570.28</v>
      </c>
      <c r="L7" s="48"/>
      <c r="M7" s="50">
        <f>K7+L7</f>
        <v>223570.28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4">
        <f>99833.67-1073.48+0.81</f>
        <v>98761</v>
      </c>
      <c r="H8" s="172">
        <f>K8-G8</f>
        <v>-3.2599999999947613</v>
      </c>
      <c r="I8" s="48">
        <f>G8+H8</f>
        <v>98757.74</v>
      </c>
      <c r="J8" s="48"/>
      <c r="K8" s="48">
        <f>56436.44+42321.3</f>
        <v>98757.74</v>
      </c>
      <c r="L8" s="48">
        <v>0</v>
      </c>
      <c r="M8" s="50">
        <f>K8+L8</f>
        <v>98757.74</v>
      </c>
      <c r="N8" s="3"/>
      <c r="O8" s="9"/>
      <c r="P8" s="9"/>
    </row>
    <row r="9" spans="1:16" ht="14.45" x14ac:dyDescent="0.3">
      <c r="B9" s="3" t="s">
        <v>208</v>
      </c>
      <c r="C9" s="7">
        <v>84.367000000000004</v>
      </c>
      <c r="D9" s="3" t="s">
        <v>207</v>
      </c>
      <c r="E9" s="3" t="s">
        <v>7</v>
      </c>
      <c r="F9" s="3" t="s">
        <v>132</v>
      </c>
      <c r="G9" s="162">
        <v>2184</v>
      </c>
      <c r="H9" s="164"/>
      <c r="I9" s="164">
        <f>G9+H9</f>
        <v>2184</v>
      </c>
      <c r="J9" s="164"/>
      <c r="K9" s="164">
        <v>2184</v>
      </c>
      <c r="L9" s="164"/>
      <c r="M9" s="165">
        <f>K9+L9</f>
        <v>2184</v>
      </c>
      <c r="N9" s="3"/>
      <c r="O9" s="9"/>
      <c r="P9" s="9"/>
    </row>
    <row r="10" spans="1:16" ht="14.45" x14ac:dyDescent="0.3">
      <c r="B10" s="3"/>
      <c r="C10" s="65"/>
      <c r="D10" s="3"/>
      <c r="E10" s="3"/>
      <c r="F10" s="3"/>
      <c r="G10" s="53"/>
      <c r="H10" s="53"/>
      <c r="I10" s="53"/>
      <c r="J10" s="59"/>
      <c r="K10" s="53"/>
      <c r="L10" s="53"/>
      <c r="M10" s="54"/>
      <c r="N10" s="3"/>
      <c r="O10" s="9"/>
      <c r="P10" s="9"/>
    </row>
    <row r="11" spans="1:16" ht="14.45" x14ac:dyDescent="0.3">
      <c r="B11" s="59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>
        <f>SUM(G7:G11)</f>
        <v>324515.28000000003</v>
      </c>
      <c r="H12" s="174">
        <f>SUM(H7:H11)</f>
        <v>-3.2599999999947613</v>
      </c>
      <c r="I12" s="10">
        <f>SUM(I7:I11)</f>
        <v>324512.02</v>
      </c>
      <c r="J12" s="3"/>
      <c r="K12" s="10">
        <f>SUM(K7:K11)</f>
        <v>324512.02</v>
      </c>
      <c r="L12" s="10">
        <f>SUM(L7:L11)</f>
        <v>0</v>
      </c>
      <c r="M12" s="50">
        <f>SUM(M7:M11)</f>
        <v>324512.02</v>
      </c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/>
      <c r="H14" s="10"/>
      <c r="I14" s="10"/>
      <c r="J14" s="3"/>
      <c r="K14" s="10"/>
      <c r="L14" s="10"/>
      <c r="M14" s="50"/>
      <c r="N14" s="3"/>
      <c r="O14" s="9"/>
      <c r="P14" s="9"/>
    </row>
    <row r="15" spans="1:16" ht="14.45" x14ac:dyDescent="0.3">
      <c r="B15" s="27"/>
      <c r="C15" s="27"/>
      <c r="D15" s="27"/>
      <c r="E15" s="27"/>
      <c r="F15" s="27"/>
      <c r="G15" s="27"/>
      <c r="H15" s="27"/>
      <c r="I15" s="27"/>
      <c r="J15" s="59"/>
      <c r="K15" s="27"/>
      <c r="L15" s="27"/>
      <c r="M15" s="57"/>
      <c r="N15" s="3"/>
      <c r="O15" s="9"/>
      <c r="P15" s="9"/>
    </row>
    <row r="16" spans="1:16" ht="14.45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9"/>
      <c r="P16" s="9"/>
    </row>
    <row r="17" spans="2:16" ht="14.45" x14ac:dyDescent="0.3">
      <c r="B17" s="37" t="s">
        <v>71</v>
      </c>
      <c r="C17" s="8" t="s">
        <v>2</v>
      </c>
      <c r="D17" s="8" t="s">
        <v>65</v>
      </c>
      <c r="E17" s="8" t="s">
        <v>66</v>
      </c>
      <c r="F17" s="8" t="s">
        <v>67</v>
      </c>
      <c r="G17" s="8" t="s">
        <v>68</v>
      </c>
      <c r="H17" s="90"/>
      <c r="I17" s="90"/>
      <c r="J17" s="90"/>
      <c r="K17" s="115" t="s">
        <v>183</v>
      </c>
      <c r="L17" s="103"/>
      <c r="M17" s="103"/>
      <c r="N17" s="104"/>
      <c r="O17" s="9"/>
      <c r="P17" s="9"/>
    </row>
    <row r="18" spans="2:16" ht="14.45" x14ac:dyDescent="0.3">
      <c r="B18" s="32"/>
      <c r="C18" s="33"/>
      <c r="D18" s="76"/>
      <c r="E18" s="35"/>
      <c r="F18" s="36"/>
      <c r="G18" s="63"/>
      <c r="H18" s="3"/>
      <c r="I18" s="3"/>
      <c r="J18" s="3"/>
      <c r="K18" s="104" t="s">
        <v>181</v>
      </c>
      <c r="L18" s="104"/>
      <c r="M18" s="104"/>
      <c r="N18" s="104"/>
      <c r="O18" s="9"/>
      <c r="P18" s="9"/>
    </row>
    <row r="19" spans="2:16" ht="15" customHeight="1" x14ac:dyDescent="0.3">
      <c r="B19" s="32"/>
      <c r="C19" s="33"/>
      <c r="D19" s="76"/>
      <c r="E19" s="35"/>
      <c r="F19" s="36"/>
      <c r="G19" s="40"/>
      <c r="H19" s="38"/>
      <c r="I19" s="38"/>
      <c r="J19" s="38"/>
      <c r="K19" s="9"/>
      <c r="P19" s="9"/>
    </row>
    <row r="20" spans="2:16" ht="14.45" x14ac:dyDescent="0.3">
      <c r="B20" s="71"/>
      <c r="C20" s="75"/>
      <c r="D20" s="76"/>
      <c r="E20" s="73"/>
      <c r="F20" s="74"/>
      <c r="G20" s="69"/>
      <c r="H20" s="77"/>
      <c r="I20" s="41"/>
      <c r="J20" s="41"/>
      <c r="P20" s="9"/>
    </row>
    <row r="21" spans="2:16" ht="14.45" x14ac:dyDescent="0.3">
      <c r="B21" s="3"/>
      <c r="C21" s="75"/>
      <c r="D21" s="76"/>
      <c r="E21" s="66"/>
      <c r="F21" s="68"/>
      <c r="G21" s="63"/>
      <c r="H21" s="77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63"/>
      <c r="H22" s="78"/>
      <c r="I22" s="3"/>
      <c r="J22" s="3"/>
      <c r="K22" s="9"/>
      <c r="L22" s="9"/>
      <c r="M22" s="9"/>
      <c r="P22" s="9"/>
    </row>
    <row r="23" spans="2:16" ht="14.45" x14ac:dyDescent="0.3">
      <c r="B23" s="3"/>
      <c r="C23" s="75"/>
      <c r="D23" s="76"/>
      <c r="E23" s="66"/>
      <c r="F23" s="68"/>
      <c r="G23" s="70"/>
      <c r="H23" s="72"/>
      <c r="I23" s="72"/>
      <c r="J23" s="41"/>
      <c r="P23" s="9"/>
    </row>
    <row r="24" spans="2:16" ht="15" customHeight="1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x14ac:dyDescent="0.25">
      <c r="B26" s="71"/>
      <c r="C26" s="75"/>
      <c r="D26" s="76"/>
      <c r="E26" s="73"/>
      <c r="F26" s="68"/>
      <c r="G26" s="63"/>
      <c r="H26" s="79"/>
      <c r="I26" s="79"/>
      <c r="J26" s="41"/>
      <c r="P26" s="9"/>
    </row>
    <row r="27" spans="2:16" ht="16.5" customHeight="1" x14ac:dyDescent="0.25">
      <c r="B27" s="71"/>
      <c r="C27" s="75"/>
      <c r="D27" s="76"/>
      <c r="E27" s="73"/>
      <c r="F27" s="74"/>
      <c r="G27" s="40"/>
      <c r="H27" s="79"/>
      <c r="I27" s="79"/>
      <c r="J27" s="41"/>
      <c r="P27" s="9"/>
    </row>
    <row r="28" spans="2:16" ht="15" hidden="1" customHeight="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ht="15" customHeight="1" x14ac:dyDescent="0.25">
      <c r="B29" s="9"/>
      <c r="C29" s="9"/>
      <c r="D29" s="43"/>
      <c r="E29" s="8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3"/>
      <c r="J31" s="3"/>
      <c r="K31" s="9"/>
      <c r="L31" s="9"/>
      <c r="M31" s="9"/>
      <c r="N31" s="9"/>
      <c r="O31" s="9"/>
      <c r="P31" s="9"/>
    </row>
    <row r="32" spans="2:16" ht="15" customHeight="1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53.140625" customWidth="1"/>
    <col min="3" max="3" width="9" bestFit="1" customWidth="1"/>
    <col min="4" max="4" width="17" bestFit="1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x14ac:dyDescent="0.25">
      <c r="B1" s="15" t="s">
        <v>10</v>
      </c>
      <c r="K1" s="187" t="s">
        <v>139</v>
      </c>
      <c r="L1" s="187"/>
      <c r="M1" s="187"/>
    </row>
    <row r="2" spans="1:16" x14ac:dyDescent="0.25">
      <c r="B2" s="15" t="s">
        <v>134</v>
      </c>
      <c r="G2" s="169">
        <v>41571</v>
      </c>
      <c r="H2" s="169">
        <v>41820</v>
      </c>
      <c r="J2" s="41"/>
      <c r="K2" s="185" t="s">
        <v>129</v>
      </c>
      <c r="L2" s="185"/>
      <c r="M2" s="185"/>
    </row>
    <row r="3" spans="1:16" x14ac:dyDescent="0.25">
      <c r="A3" t="s">
        <v>26</v>
      </c>
      <c r="B3" s="85" t="s">
        <v>89</v>
      </c>
      <c r="C3" s="1"/>
      <c r="D3" s="1"/>
      <c r="E3" s="9"/>
      <c r="F3" s="9"/>
      <c r="G3" s="9"/>
      <c r="H3" s="9"/>
      <c r="I3" s="9"/>
      <c r="J3" s="42"/>
      <c r="K3" s="17"/>
      <c r="L3" s="18"/>
      <c r="M3" s="9"/>
      <c r="N3" s="9"/>
      <c r="O3" s="9"/>
      <c r="P3" s="9"/>
    </row>
    <row r="4" spans="1:16" x14ac:dyDescent="0.25">
      <c r="C4" s="9"/>
      <c r="D4" s="9"/>
      <c r="E4" s="9"/>
      <c r="F4" s="9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9"/>
      <c r="C5" s="9"/>
      <c r="D5" s="9"/>
      <c r="E5" s="9"/>
      <c r="F5" s="9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44" t="s">
        <v>63</v>
      </c>
      <c r="M6" s="45" t="s">
        <v>64</v>
      </c>
      <c r="N6" s="9"/>
      <c r="O6" s="9"/>
      <c r="P6" s="9"/>
    </row>
    <row r="7" spans="1:16" x14ac:dyDescent="0.25">
      <c r="A7">
        <v>4201</v>
      </c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7">
        <v>8466.64</v>
      </c>
      <c r="H7" s="46">
        <f t="shared" ref="H7:H8" si="0">SUM(H3:H6)</f>
        <v>0</v>
      </c>
      <c r="I7" s="10">
        <f>G7+H7</f>
        <v>8466.64</v>
      </c>
      <c r="J7" s="48"/>
      <c r="K7" s="10">
        <f>8134.68+329.32</f>
        <v>8464</v>
      </c>
      <c r="L7" s="10"/>
      <c r="M7" s="49">
        <f>K7+L7</f>
        <v>8464</v>
      </c>
      <c r="N7" s="9"/>
      <c r="O7" s="9"/>
      <c r="P7" s="9"/>
    </row>
    <row r="8" spans="1:16" ht="14.45" x14ac:dyDescent="0.3">
      <c r="B8" s="3" t="s">
        <v>9</v>
      </c>
      <c r="C8" s="5">
        <v>84.027000000000001</v>
      </c>
      <c r="D8" s="3" t="s">
        <v>133</v>
      </c>
      <c r="E8" s="3" t="s">
        <v>7</v>
      </c>
      <c r="F8" s="3" t="s">
        <v>132</v>
      </c>
      <c r="G8" s="47">
        <f>142772.88+0.12</f>
        <v>142773</v>
      </c>
      <c r="H8" s="46">
        <f t="shared" si="0"/>
        <v>0</v>
      </c>
      <c r="I8" s="10">
        <f>G8+H8</f>
        <v>142773</v>
      </c>
      <c r="J8" s="10"/>
      <c r="K8" s="10">
        <v>142773</v>
      </c>
      <c r="L8" s="46">
        <v>0</v>
      </c>
      <c r="M8" s="50">
        <f>K8+L8</f>
        <v>142773</v>
      </c>
      <c r="N8" s="9"/>
      <c r="O8" s="9"/>
      <c r="P8" s="9"/>
    </row>
    <row r="9" spans="1:16" ht="15" customHeight="1" x14ac:dyDescent="0.3">
      <c r="B9" s="39"/>
      <c r="C9" s="7"/>
      <c r="D9" s="3"/>
      <c r="E9" s="3"/>
      <c r="F9" s="3"/>
      <c r="G9" s="51"/>
      <c r="H9" s="52"/>
      <c r="I9" s="53"/>
      <c r="J9" s="48"/>
      <c r="K9" s="53"/>
      <c r="L9" s="52"/>
      <c r="M9" s="54"/>
      <c r="N9" s="9"/>
      <c r="O9" s="9"/>
      <c r="P9" s="9"/>
    </row>
    <row r="10" spans="1:16" ht="14.45" x14ac:dyDescent="0.3">
      <c r="B10" s="3"/>
      <c r="C10" s="5"/>
      <c r="D10" s="3"/>
      <c r="E10" s="3"/>
      <c r="F10" s="3"/>
      <c r="G10" s="46"/>
      <c r="H10" s="46"/>
      <c r="I10" s="46"/>
      <c r="J10" s="46"/>
      <c r="K10" s="46"/>
      <c r="L10" s="46"/>
      <c r="M10" s="55"/>
      <c r="N10" s="9"/>
      <c r="O10" s="9"/>
      <c r="P10" s="9"/>
    </row>
    <row r="11" spans="1:16" ht="14.45" x14ac:dyDescent="0.3">
      <c r="B11" s="6"/>
      <c r="C11" s="9"/>
      <c r="D11" s="9"/>
      <c r="E11" s="9"/>
      <c r="F11" s="43" t="s">
        <v>70</v>
      </c>
      <c r="G11" s="10">
        <f>SUM(G7:G10)</f>
        <v>151239.64000000001</v>
      </c>
      <c r="H11" s="10">
        <f t="shared" ref="H11:I11" si="1">SUM(H7:H10)</f>
        <v>0</v>
      </c>
      <c r="I11" s="10">
        <f t="shared" si="1"/>
        <v>151239.64000000001</v>
      </c>
      <c r="J11" s="10"/>
      <c r="K11" s="10">
        <f>SUM(K7:K10)</f>
        <v>151237</v>
      </c>
      <c r="L11" s="10">
        <f>SUM(L7:L10)</f>
        <v>0</v>
      </c>
      <c r="M11" s="50">
        <f>SUM(M7:M10)</f>
        <v>151237</v>
      </c>
      <c r="N11" s="9"/>
      <c r="O11" s="9"/>
      <c r="P11" s="9"/>
    </row>
    <row r="12" spans="1:16" ht="14.45" x14ac:dyDescent="0.3">
      <c r="B12" s="3"/>
      <c r="C12" s="9"/>
      <c r="D12" s="9"/>
      <c r="E12" s="9"/>
      <c r="F12" s="9"/>
      <c r="G12" s="9"/>
      <c r="H12" s="9"/>
      <c r="I12" s="9"/>
      <c r="J12" s="9"/>
      <c r="K12" s="9"/>
      <c r="L12" s="9"/>
      <c r="M12" s="29"/>
      <c r="N12" s="9"/>
      <c r="O12" s="9"/>
      <c r="P12" s="9"/>
    </row>
    <row r="13" spans="1:16" ht="14.45" x14ac:dyDescent="0.3">
      <c r="B13" s="3"/>
      <c r="C13" s="9"/>
      <c r="D13" s="9"/>
      <c r="E13" s="9"/>
      <c r="F13" s="9"/>
      <c r="G13" s="9"/>
      <c r="H13" s="9"/>
      <c r="I13" s="9"/>
      <c r="J13" s="9"/>
      <c r="K13" s="9"/>
      <c r="L13" s="9"/>
      <c r="M13" s="29"/>
      <c r="N13" s="9"/>
      <c r="O13" s="9"/>
      <c r="P13" s="9"/>
    </row>
    <row r="14" spans="1:16" ht="14.45" x14ac:dyDescent="0.3">
      <c r="B14" s="27"/>
      <c r="C14" s="28"/>
      <c r="D14" s="28"/>
      <c r="E14" s="28"/>
      <c r="F14" s="28"/>
      <c r="G14" s="28"/>
      <c r="H14" s="28"/>
      <c r="I14" s="28"/>
      <c r="J14" s="42"/>
      <c r="K14" s="28"/>
      <c r="L14" s="28"/>
      <c r="M14" s="30"/>
      <c r="N14" s="9"/>
      <c r="O14" s="9"/>
      <c r="P14" s="9"/>
    </row>
    <row r="15" spans="1:16" ht="14.45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8"/>
      <c r="J16" s="98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1"/>
      <c r="C17" s="16"/>
      <c r="D17" s="16"/>
      <c r="E17" s="3"/>
      <c r="F17" s="3"/>
      <c r="G17" s="3"/>
      <c r="H17" s="3"/>
      <c r="K17" s="104" t="s">
        <v>181</v>
      </c>
      <c r="L17" s="104"/>
      <c r="M17" s="104"/>
      <c r="N17" s="104"/>
      <c r="O17" s="9"/>
      <c r="P17" s="9"/>
    </row>
    <row r="18" spans="2:16" ht="14.45" x14ac:dyDescent="0.3">
      <c r="B18" s="32"/>
      <c r="C18" s="33"/>
      <c r="D18" s="76"/>
      <c r="E18" s="35"/>
      <c r="F18" s="36"/>
      <c r="G18" s="40"/>
      <c r="H18" s="38"/>
      <c r="I18" s="38"/>
      <c r="J18" s="38"/>
      <c r="K18" s="9"/>
      <c r="L18" s="9"/>
      <c r="M18" s="9"/>
      <c r="N18" s="9"/>
      <c r="O18" s="9"/>
      <c r="P18" s="9"/>
    </row>
    <row r="19" spans="2:16" ht="14.45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ht="14.45" x14ac:dyDescent="0.3">
      <c r="B20" s="9"/>
      <c r="C20" s="9"/>
      <c r="D20" s="9"/>
      <c r="E20" s="9"/>
      <c r="F20" s="9"/>
      <c r="G20" s="9"/>
      <c r="H20" s="9"/>
      <c r="I20" s="3"/>
      <c r="J20" s="3"/>
      <c r="K20" s="9"/>
      <c r="L20" s="9"/>
      <c r="M20" s="9"/>
      <c r="N20" s="9"/>
      <c r="O20" s="9"/>
      <c r="P20" s="9"/>
    </row>
    <row r="21" spans="2:16" ht="14.45" x14ac:dyDescent="0.3">
      <c r="B21" s="9"/>
      <c r="C21" s="9"/>
      <c r="D21" s="9"/>
      <c r="E21" s="9"/>
      <c r="F21" s="9"/>
      <c r="G21" s="9"/>
      <c r="H21" s="9"/>
      <c r="I21" s="3"/>
      <c r="J21" s="3"/>
      <c r="K21" s="9"/>
      <c r="L21" s="9"/>
      <c r="M21" s="9"/>
      <c r="N21" s="9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82" orientation="landscape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F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22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113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65">
        <v>84.027000000000001</v>
      </c>
      <c r="D7" s="3" t="s">
        <v>133</v>
      </c>
      <c r="E7" s="3" t="s">
        <v>7</v>
      </c>
      <c r="F7" s="3" t="s">
        <v>132</v>
      </c>
      <c r="G7" s="4">
        <f>263002.67+19931.08+0.33</f>
        <v>282934.08</v>
      </c>
      <c r="H7" s="172">
        <f>K7-G7</f>
        <v>-8.0000000016298145E-2</v>
      </c>
      <c r="I7" s="48">
        <f>G7+H7</f>
        <v>282934</v>
      </c>
      <c r="J7" s="48"/>
      <c r="K7" s="48">
        <v>282934</v>
      </c>
      <c r="L7" s="48"/>
      <c r="M7" s="50">
        <f>K7+L7</f>
        <v>282934</v>
      </c>
      <c r="N7" s="3"/>
      <c r="O7" s="9"/>
      <c r="P7" s="9"/>
    </row>
    <row r="8" spans="1:16" ht="14.45" x14ac:dyDescent="0.3">
      <c r="B8" s="3"/>
      <c r="C8" s="65"/>
      <c r="D8" s="3"/>
      <c r="E8" s="3"/>
      <c r="F8" s="3"/>
      <c r="G8" s="53"/>
      <c r="H8" s="53"/>
      <c r="I8" s="53"/>
      <c r="J8" s="59"/>
      <c r="K8" s="53"/>
      <c r="L8" s="53"/>
      <c r="M8" s="54"/>
      <c r="N8" s="3"/>
      <c r="O8" s="9"/>
      <c r="P8" s="9"/>
    </row>
    <row r="9" spans="1:16" ht="14.45" x14ac:dyDescent="0.3">
      <c r="B9" s="59"/>
      <c r="C9" s="7"/>
      <c r="D9" s="3"/>
      <c r="E9" s="3"/>
      <c r="F9" s="12"/>
      <c r="G9" s="10"/>
      <c r="H9" s="10"/>
      <c r="I9" s="10"/>
      <c r="J9" s="3"/>
      <c r="K9" s="10"/>
      <c r="L9" s="10"/>
      <c r="M9" s="50"/>
      <c r="N9" s="3"/>
      <c r="O9" s="9"/>
      <c r="P9" s="9"/>
    </row>
    <row r="10" spans="1:16" ht="14.45" x14ac:dyDescent="0.3">
      <c r="B10" s="3"/>
      <c r="C10" s="7"/>
      <c r="D10" s="3"/>
      <c r="E10" s="3"/>
      <c r="F10" s="12"/>
      <c r="G10" s="10">
        <f>SUM(G7:G9)</f>
        <v>282934.08</v>
      </c>
      <c r="H10" s="174">
        <f>SUM(H7:H9)</f>
        <v>-8.0000000016298145E-2</v>
      </c>
      <c r="I10" s="10">
        <f>SUM(I7:I9)</f>
        <v>282934</v>
      </c>
      <c r="J10" s="3"/>
      <c r="K10" s="10">
        <f>SUM(K7:K9)</f>
        <v>282934</v>
      </c>
      <c r="L10" s="10">
        <f>SUM(L7:L9)</f>
        <v>0</v>
      </c>
      <c r="M10" s="50">
        <f>SUM(M7:M9)</f>
        <v>282934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27"/>
      <c r="C13" s="27"/>
      <c r="D13" s="27"/>
      <c r="E13" s="27"/>
      <c r="F13" s="27"/>
      <c r="G13" s="27"/>
      <c r="H13" s="27"/>
      <c r="I13" s="27"/>
      <c r="J13" s="59"/>
      <c r="K13" s="27"/>
      <c r="L13" s="27"/>
      <c r="M13" s="57"/>
      <c r="N13" s="3"/>
      <c r="O13" s="9"/>
      <c r="P13" s="9"/>
    </row>
    <row r="14" spans="1:16" ht="14.4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9"/>
      <c r="P14" s="9"/>
    </row>
    <row r="15" spans="1:16" ht="14.45" x14ac:dyDescent="0.3">
      <c r="B15" s="37" t="s">
        <v>71</v>
      </c>
      <c r="C15" s="8" t="s">
        <v>2</v>
      </c>
      <c r="D15" s="8" t="s">
        <v>65</v>
      </c>
      <c r="E15" s="8" t="s">
        <v>66</v>
      </c>
      <c r="F15" s="8" t="s">
        <v>67</v>
      </c>
      <c r="G15" s="8" t="s">
        <v>68</v>
      </c>
      <c r="H15" s="90"/>
      <c r="I15" s="90"/>
      <c r="J15" s="90"/>
      <c r="K15" s="115" t="s">
        <v>183</v>
      </c>
      <c r="L15" s="103"/>
      <c r="M15" s="103"/>
      <c r="N15" s="104"/>
      <c r="O15" s="9"/>
      <c r="P15" s="9"/>
    </row>
    <row r="16" spans="1:16" ht="14.45" x14ac:dyDescent="0.3">
      <c r="B16" s="32"/>
      <c r="C16" s="33"/>
      <c r="D16" s="76"/>
      <c r="E16" s="35"/>
      <c r="F16" s="36"/>
      <c r="G16" s="63"/>
      <c r="H16" s="3"/>
      <c r="I16" s="3"/>
      <c r="J16" s="3"/>
      <c r="K16" s="104" t="s">
        <v>181</v>
      </c>
      <c r="L16" s="104"/>
      <c r="M16" s="104"/>
      <c r="N16" s="104"/>
      <c r="O16" s="9"/>
      <c r="P16" s="9"/>
    </row>
    <row r="17" spans="2:16" ht="15" customHeight="1" x14ac:dyDescent="0.3">
      <c r="B17" s="32"/>
      <c r="C17" s="33"/>
      <c r="D17" s="76"/>
      <c r="E17" s="35"/>
      <c r="F17" s="36"/>
      <c r="G17" s="40"/>
      <c r="H17" s="38"/>
      <c r="I17" s="38"/>
      <c r="J17" s="38"/>
      <c r="K17" s="9"/>
      <c r="P17" s="9"/>
    </row>
    <row r="18" spans="2:16" ht="14.45" x14ac:dyDescent="0.3">
      <c r="B18" s="71"/>
      <c r="C18" s="75"/>
      <c r="D18" s="76"/>
      <c r="E18" s="73"/>
      <c r="F18" s="74"/>
      <c r="G18" s="69"/>
      <c r="H18" s="77"/>
      <c r="I18" s="41"/>
      <c r="J18" s="41"/>
      <c r="P18" s="9"/>
    </row>
    <row r="19" spans="2:16" ht="14.45" x14ac:dyDescent="0.3">
      <c r="B19" s="3"/>
      <c r="C19" s="75"/>
      <c r="D19" s="76"/>
      <c r="E19" s="66"/>
      <c r="F19" s="68"/>
      <c r="G19" s="63"/>
      <c r="H19" s="77"/>
      <c r="I19" s="3"/>
      <c r="J19" s="3"/>
      <c r="K19" s="9"/>
      <c r="L19" s="9"/>
      <c r="M19" s="9"/>
      <c r="P19" s="9"/>
    </row>
    <row r="20" spans="2:16" ht="14.45" x14ac:dyDescent="0.3">
      <c r="B20" s="3"/>
      <c r="C20" s="75"/>
      <c r="D20" s="76"/>
      <c r="E20" s="66"/>
      <c r="F20" s="68"/>
      <c r="G20" s="63"/>
      <c r="H20" s="78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70"/>
      <c r="H21" s="72"/>
      <c r="I21" s="72"/>
      <c r="J21" s="41"/>
      <c r="P21" s="9"/>
    </row>
    <row r="22" spans="2:16" ht="15" customHeight="1" x14ac:dyDescent="0.3">
      <c r="B22" s="71"/>
      <c r="C22" s="75"/>
      <c r="D22" s="76"/>
      <c r="E22" s="73"/>
      <c r="F22" s="68"/>
      <c r="G22" s="63"/>
      <c r="H22" s="79"/>
      <c r="I22" s="79"/>
      <c r="J22" s="41"/>
      <c r="P22" s="9"/>
    </row>
    <row r="23" spans="2:16" ht="14.45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ht="16.5" customHeight="1" x14ac:dyDescent="0.25">
      <c r="B25" s="71"/>
      <c r="C25" s="75"/>
      <c r="D25" s="76"/>
      <c r="E25" s="73"/>
      <c r="F25" s="74"/>
      <c r="G25" s="40"/>
      <c r="H25" s="79"/>
      <c r="I25" s="79"/>
      <c r="J25" s="41"/>
      <c r="P25" s="9"/>
    </row>
    <row r="26" spans="2:16" ht="15" hidden="1" customHeight="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ht="15" customHeight="1" x14ac:dyDescent="0.25">
      <c r="B27" s="9"/>
      <c r="C27" s="9"/>
      <c r="D27" s="43"/>
      <c r="E27" s="8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3"/>
      <c r="J28" s="3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ht="15" customHeight="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17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114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v>4725.09</v>
      </c>
      <c r="H7" s="48">
        <v>0</v>
      </c>
      <c r="I7" s="48">
        <f>G7+H7</f>
        <v>4725.09</v>
      </c>
      <c r="J7" s="48"/>
      <c r="K7" s="48">
        <f>812+895.14+1070+1947.95</f>
        <v>4725.09</v>
      </c>
      <c r="L7" s="48"/>
      <c r="M7" s="50">
        <f>K7+L7</f>
        <v>4725.09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166">
        <v>10162.049999999999</v>
      </c>
      <c r="H8" s="164">
        <f>21825.44-31987.49+24225.62</f>
        <v>14063.569999999996</v>
      </c>
      <c r="I8" s="48">
        <f>G8+H8</f>
        <v>24225.619999999995</v>
      </c>
      <c r="J8" s="48"/>
      <c r="K8" s="48">
        <f>10182.05+6903.59+7139.98</f>
        <v>24225.62</v>
      </c>
      <c r="L8" s="48">
        <v>0</v>
      </c>
      <c r="M8" s="50">
        <f>K8+L8</f>
        <v>24225.62</v>
      </c>
      <c r="N8" s="3"/>
      <c r="O8" s="9"/>
      <c r="P8" s="9"/>
    </row>
    <row r="9" spans="1:16" ht="14.45" x14ac:dyDescent="0.3">
      <c r="B9" s="3"/>
      <c r="C9" s="65"/>
      <c r="D9" s="3"/>
      <c r="E9" s="3"/>
      <c r="F9" s="3"/>
      <c r="G9" s="53"/>
      <c r="H9" s="53"/>
      <c r="I9" s="53"/>
      <c r="J9" s="59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14887.14</v>
      </c>
      <c r="H11" s="10">
        <f>SUM(H7:H10)</f>
        <v>14063.569999999996</v>
      </c>
      <c r="I11" s="10">
        <f>SUM(I7:I10)</f>
        <v>28950.709999999995</v>
      </c>
      <c r="J11" s="3"/>
      <c r="K11" s="10">
        <f>SUM(K7:K10)</f>
        <v>28950.71</v>
      </c>
      <c r="L11" s="10">
        <f>SUM(L7:L10)</f>
        <v>0</v>
      </c>
      <c r="M11" s="50">
        <f>SUM(M7:M10)</f>
        <v>28950.71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76"/>
      <c r="E17" s="35"/>
      <c r="F17" s="36"/>
      <c r="G17" s="40"/>
      <c r="H17" s="38"/>
      <c r="I17" s="38"/>
      <c r="J17" s="38"/>
      <c r="K17" s="104" t="s">
        <v>181</v>
      </c>
      <c r="L17" s="104"/>
      <c r="M17" s="104"/>
      <c r="N17" s="104"/>
      <c r="O17" s="9"/>
      <c r="P17" s="9"/>
    </row>
    <row r="18" spans="2:16" ht="15" customHeight="1" x14ac:dyDescent="0.3">
      <c r="B18" s="32"/>
      <c r="C18" s="33"/>
      <c r="D18" s="76"/>
      <c r="E18" s="35"/>
      <c r="F18" s="36"/>
      <c r="G18" s="40"/>
      <c r="H18" s="38"/>
      <c r="I18" s="38"/>
      <c r="J18" s="38"/>
      <c r="K18" s="9"/>
      <c r="P18" s="9"/>
    </row>
    <row r="19" spans="2:16" ht="14.45" x14ac:dyDescent="0.3">
      <c r="B19" s="71"/>
      <c r="C19" s="75"/>
      <c r="D19" s="76"/>
      <c r="E19" s="73"/>
      <c r="F19" s="74"/>
      <c r="G19" s="69"/>
      <c r="H19" s="77"/>
      <c r="I19" s="41"/>
      <c r="J19" s="41"/>
      <c r="P19" s="9"/>
    </row>
    <row r="20" spans="2:16" ht="14.45" x14ac:dyDescent="0.3">
      <c r="B20" s="3"/>
      <c r="C20" s="75"/>
      <c r="D20" s="76"/>
      <c r="E20" s="66"/>
      <c r="F20" s="68"/>
      <c r="G20" s="63"/>
      <c r="H20" s="77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63"/>
      <c r="H21" s="78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70"/>
      <c r="H22" s="72"/>
      <c r="I22" s="72"/>
      <c r="J22" s="41"/>
      <c r="P22" s="9"/>
    </row>
    <row r="23" spans="2:16" ht="15" customHeight="1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ht="16.5" customHeight="1" x14ac:dyDescent="0.25">
      <c r="B26" s="71"/>
      <c r="C26" s="75"/>
      <c r="D26" s="76"/>
      <c r="E26" s="73"/>
      <c r="F26" s="74"/>
      <c r="G26" s="40"/>
      <c r="H26" s="79"/>
      <c r="I26" s="79"/>
      <c r="J26" s="41"/>
      <c r="P26" s="9"/>
    </row>
    <row r="27" spans="2:16" ht="15" hidden="1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ht="15" customHeight="1" x14ac:dyDescent="0.25">
      <c r="B28" s="9"/>
      <c r="C28" s="9"/>
      <c r="D28" s="43"/>
      <c r="E28" s="8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ht="1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35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115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v>11517.72</v>
      </c>
      <c r="H7" s="48">
        <v>0</v>
      </c>
      <c r="I7" s="48">
        <f>G7+H7</f>
        <v>11517.72</v>
      </c>
      <c r="J7" s="48"/>
      <c r="K7" s="48">
        <f>1943.15+4390.72</f>
        <v>6333.8700000000008</v>
      </c>
      <c r="L7" s="48">
        <v>0</v>
      </c>
      <c r="M7" s="50">
        <f>K7+L7</f>
        <v>6333.8700000000008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4">
        <f>86951.9+0.1</f>
        <v>86952</v>
      </c>
      <c r="H8" s="172">
        <f>K8-G8</f>
        <v>-44010.3</v>
      </c>
      <c r="I8" s="48">
        <f>G8+H8</f>
        <v>42941.7</v>
      </c>
      <c r="J8" s="48"/>
      <c r="K8" s="48">
        <v>42941.7</v>
      </c>
      <c r="L8" s="48">
        <v>0</v>
      </c>
      <c r="M8" s="50">
        <f>K8+L8</f>
        <v>42941.7</v>
      </c>
      <c r="N8" s="3"/>
      <c r="O8" s="9"/>
      <c r="P8" s="9"/>
    </row>
    <row r="9" spans="1:16" ht="14.45" x14ac:dyDescent="0.3">
      <c r="B9" s="3" t="s">
        <v>43</v>
      </c>
      <c r="C9" s="65">
        <v>84.281999999999996</v>
      </c>
      <c r="D9" s="3" t="s">
        <v>49</v>
      </c>
      <c r="E9" s="3" t="s">
        <v>7</v>
      </c>
      <c r="F9" s="3" t="s">
        <v>50</v>
      </c>
      <c r="G9" s="4">
        <v>225000</v>
      </c>
      <c r="H9" s="48">
        <v>0</v>
      </c>
      <c r="I9" s="48">
        <f>G9+H9</f>
        <v>225000</v>
      </c>
      <c r="J9" s="48"/>
      <c r="K9" s="48">
        <v>158732.60999999999</v>
      </c>
      <c r="L9" s="48">
        <v>0</v>
      </c>
      <c r="M9" s="50">
        <f>K9+L9</f>
        <v>158732.60999999999</v>
      </c>
      <c r="N9" s="3"/>
      <c r="O9" s="9"/>
      <c r="P9" s="9"/>
    </row>
    <row r="10" spans="1:16" ht="14.45" x14ac:dyDescent="0.3">
      <c r="B10" s="3"/>
      <c r="C10" s="65"/>
      <c r="D10" s="3"/>
      <c r="E10" s="3"/>
      <c r="F10" s="3"/>
      <c r="G10" s="53"/>
      <c r="H10" s="53"/>
      <c r="I10" s="53"/>
      <c r="J10" s="59"/>
      <c r="K10" s="53"/>
      <c r="L10" s="53"/>
      <c r="M10" s="54"/>
      <c r="N10" s="3"/>
      <c r="O10" s="9"/>
      <c r="P10" s="9"/>
    </row>
    <row r="11" spans="1:16" ht="14.45" x14ac:dyDescent="0.3">
      <c r="B11" s="59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>
        <f>SUM(G7:G11)</f>
        <v>323469.71999999997</v>
      </c>
      <c r="H12" s="174">
        <f>SUM(H7:H11)</f>
        <v>-44010.3</v>
      </c>
      <c r="I12" s="10">
        <f>SUM(I7:I11)</f>
        <v>279459.42</v>
      </c>
      <c r="J12" s="59"/>
      <c r="K12" s="10">
        <f>SUM(K7:K11)</f>
        <v>208008.18</v>
      </c>
      <c r="L12" s="10">
        <f>SUM(L7:L11)</f>
        <v>0</v>
      </c>
      <c r="M12" s="50">
        <f>SUM(M7:M11)</f>
        <v>208008.18</v>
      </c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/>
      <c r="H14" s="10"/>
      <c r="I14" s="10"/>
      <c r="J14" s="3"/>
      <c r="K14" s="10"/>
      <c r="L14" s="10"/>
      <c r="M14" s="50"/>
      <c r="N14" s="3"/>
      <c r="O14" s="9"/>
      <c r="P14" s="9"/>
    </row>
    <row r="15" spans="1:16" ht="14.45" x14ac:dyDescent="0.3">
      <c r="B15" s="27"/>
      <c r="C15" s="27"/>
      <c r="D15" s="27"/>
      <c r="E15" s="27"/>
      <c r="F15" s="27"/>
      <c r="G15" s="27"/>
      <c r="H15" s="99"/>
      <c r="I15" s="99"/>
      <c r="J15" s="101"/>
      <c r="K15" s="113"/>
      <c r="L15" s="105"/>
      <c r="M15" s="106"/>
      <c r="N15" s="104"/>
      <c r="O15" s="9"/>
      <c r="P15" s="9"/>
    </row>
    <row r="16" spans="1:16" ht="14.45" x14ac:dyDescent="0.3">
      <c r="B16" s="3"/>
      <c r="C16" s="3"/>
      <c r="D16" s="3"/>
      <c r="E16" s="3"/>
      <c r="F16" s="3"/>
      <c r="G16" s="3"/>
      <c r="H16" s="3"/>
      <c r="I16" s="3"/>
      <c r="J16" s="3"/>
      <c r="K16" s="104"/>
      <c r="L16" s="104"/>
      <c r="M16" s="104"/>
      <c r="N16" s="104"/>
      <c r="O16" s="9"/>
      <c r="P16" s="9"/>
    </row>
    <row r="17" spans="2:16" ht="14.45" x14ac:dyDescent="0.3">
      <c r="B17" s="37" t="s">
        <v>71</v>
      </c>
      <c r="C17" s="8" t="s">
        <v>2</v>
      </c>
      <c r="D17" s="8" t="s">
        <v>65</v>
      </c>
      <c r="E17" s="8" t="s">
        <v>66</v>
      </c>
      <c r="F17" s="8" t="s">
        <v>67</v>
      </c>
      <c r="G17" s="8" t="s">
        <v>68</v>
      </c>
      <c r="H17" s="3"/>
      <c r="I17" s="3"/>
      <c r="J17" s="3"/>
      <c r="K17" s="115" t="s">
        <v>183</v>
      </c>
      <c r="L17" s="102"/>
      <c r="M17" s="102"/>
      <c r="N17" s="3"/>
      <c r="O17" s="9"/>
      <c r="P17" s="9"/>
    </row>
    <row r="18" spans="2:16" ht="14.45" x14ac:dyDescent="0.3">
      <c r="B18" s="32"/>
      <c r="C18" s="33"/>
      <c r="D18" s="76"/>
      <c r="E18" s="35"/>
      <c r="F18" s="36"/>
      <c r="G18" s="40"/>
      <c r="H18" s="38"/>
      <c r="I18" s="38"/>
      <c r="J18" s="38"/>
      <c r="K18" s="104" t="s">
        <v>181</v>
      </c>
      <c r="L18" s="104"/>
      <c r="M18" s="104"/>
      <c r="N18" s="3"/>
      <c r="O18" s="9"/>
      <c r="P18" s="9"/>
    </row>
    <row r="19" spans="2:16" ht="15" customHeight="1" x14ac:dyDescent="0.3">
      <c r="B19" s="32"/>
      <c r="C19" s="33"/>
      <c r="D19" s="76"/>
      <c r="E19" s="35"/>
      <c r="F19" s="36"/>
      <c r="G19" s="40"/>
      <c r="H19" s="38"/>
      <c r="I19" s="38"/>
      <c r="J19" s="38"/>
      <c r="K19" s="9"/>
      <c r="P19" s="9"/>
    </row>
    <row r="20" spans="2:16" ht="14.45" x14ac:dyDescent="0.3">
      <c r="B20" s="71"/>
      <c r="C20" s="75"/>
      <c r="D20" s="76"/>
      <c r="E20" s="73"/>
      <c r="F20" s="74"/>
      <c r="G20" s="69"/>
      <c r="H20" s="77"/>
      <c r="I20" s="41"/>
      <c r="J20" s="41"/>
      <c r="P20" s="9"/>
    </row>
    <row r="21" spans="2:16" ht="14.45" x14ac:dyDescent="0.3">
      <c r="B21" s="3"/>
      <c r="C21" s="75"/>
      <c r="D21" s="76"/>
      <c r="E21" s="66"/>
      <c r="F21" s="68"/>
      <c r="G21" s="63"/>
      <c r="H21" s="77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63"/>
      <c r="H22" s="78"/>
      <c r="I22" s="3"/>
      <c r="J22" s="3"/>
      <c r="K22" s="9"/>
      <c r="L22" s="9"/>
      <c r="M22" s="9"/>
      <c r="P22" s="9"/>
    </row>
    <row r="23" spans="2:16" ht="14.45" x14ac:dyDescent="0.3">
      <c r="B23" s="3"/>
      <c r="C23" s="75"/>
      <c r="D23" s="76"/>
      <c r="E23" s="66"/>
      <c r="F23" s="68"/>
      <c r="G23" s="70"/>
      <c r="H23" s="72"/>
      <c r="I23" s="72"/>
      <c r="J23" s="41"/>
      <c r="P23" s="9"/>
    </row>
    <row r="24" spans="2:16" ht="15" customHeight="1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x14ac:dyDescent="0.25">
      <c r="B26" s="71"/>
      <c r="C26" s="75"/>
      <c r="D26" s="76"/>
      <c r="E26" s="73"/>
      <c r="F26" s="68"/>
      <c r="G26" s="63"/>
      <c r="H26" s="79"/>
      <c r="I26" s="79"/>
      <c r="J26" s="41"/>
      <c r="P26" s="9"/>
    </row>
    <row r="27" spans="2:16" ht="16.5" customHeight="1" x14ac:dyDescent="0.25">
      <c r="B27" s="71"/>
      <c r="C27" s="75"/>
      <c r="D27" s="76"/>
      <c r="E27" s="73"/>
      <c r="F27" s="74"/>
      <c r="G27" s="40"/>
      <c r="H27" s="79"/>
      <c r="I27" s="79"/>
      <c r="J27" s="41"/>
      <c r="P27" s="9"/>
    </row>
    <row r="28" spans="2:16" ht="15" hidden="1" customHeight="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ht="15" customHeight="1" x14ac:dyDescent="0.25">
      <c r="B29" s="9"/>
      <c r="C29" s="9"/>
      <c r="D29" s="43"/>
      <c r="E29" s="8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3"/>
      <c r="J31" s="3"/>
      <c r="K31" s="9"/>
      <c r="L31" s="9"/>
      <c r="M31" s="9"/>
      <c r="N31" s="9"/>
      <c r="O31" s="9"/>
      <c r="P31" s="9"/>
    </row>
    <row r="32" spans="2:16" ht="15" customHeight="1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F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177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178</v>
      </c>
      <c r="C3" s="15"/>
      <c r="D3" s="15"/>
      <c r="E3" s="3"/>
      <c r="F3" s="3"/>
      <c r="G3" s="3"/>
      <c r="H3" s="3"/>
      <c r="I3" s="3"/>
      <c r="J3" s="59"/>
      <c r="K3" s="90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6" t="s">
        <v>1</v>
      </c>
      <c r="C6" s="86" t="s">
        <v>2</v>
      </c>
      <c r="D6" s="86" t="s">
        <v>3</v>
      </c>
      <c r="E6" s="86" t="s">
        <v>4</v>
      </c>
      <c r="F6" s="86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43</v>
      </c>
      <c r="C7" s="7">
        <v>84.281999999999996</v>
      </c>
      <c r="D7" s="3" t="s">
        <v>179</v>
      </c>
      <c r="E7" s="3" t="s">
        <v>7</v>
      </c>
      <c r="F7" s="3" t="s">
        <v>180</v>
      </c>
      <c r="G7" s="4">
        <v>25000</v>
      </c>
      <c r="H7" s="172">
        <v>-25000</v>
      </c>
      <c r="I7" s="48">
        <f>G7+H7</f>
        <v>0</v>
      </c>
      <c r="J7" s="48"/>
      <c r="K7" s="48">
        <v>0</v>
      </c>
      <c r="L7" s="48">
        <v>0</v>
      </c>
      <c r="M7" s="50">
        <f>K7+L7</f>
        <v>0</v>
      </c>
      <c r="N7" s="3"/>
      <c r="O7" s="9"/>
      <c r="P7" s="9"/>
    </row>
    <row r="8" spans="1:16" ht="14.45" x14ac:dyDescent="0.3">
      <c r="B8" s="3"/>
      <c r="C8" s="90"/>
      <c r="D8" s="3"/>
      <c r="E8" s="3"/>
      <c r="F8" s="3"/>
      <c r="G8" s="53"/>
      <c r="H8" s="53"/>
      <c r="I8" s="53">
        <f>G8+H8</f>
        <v>0</v>
      </c>
      <c r="J8" s="59"/>
      <c r="K8" s="53"/>
      <c r="L8" s="53"/>
      <c r="M8" s="54"/>
      <c r="N8" s="3"/>
      <c r="O8" s="9"/>
      <c r="P8" s="9"/>
    </row>
    <row r="9" spans="1:16" ht="14.45" x14ac:dyDescent="0.3">
      <c r="B9" s="59"/>
      <c r="C9" s="7"/>
      <c r="D9" s="3"/>
      <c r="E9" s="3"/>
      <c r="F9" s="12"/>
      <c r="G9" s="10"/>
      <c r="H9" s="10"/>
      <c r="I9" s="10"/>
      <c r="J9" s="59"/>
      <c r="K9" s="10"/>
      <c r="L9" s="10"/>
      <c r="M9" s="50"/>
      <c r="N9" s="3"/>
      <c r="O9" s="9"/>
      <c r="P9" s="9"/>
    </row>
    <row r="10" spans="1:16" ht="14.45" x14ac:dyDescent="0.3">
      <c r="B10" s="3"/>
      <c r="C10" s="7"/>
      <c r="D10" s="3"/>
      <c r="E10" s="3"/>
      <c r="F10" s="12"/>
      <c r="G10" s="10">
        <f>SUM(G7:G9)</f>
        <v>25000</v>
      </c>
      <c r="H10" s="174">
        <f>SUM(H7:H9)</f>
        <v>-25000</v>
      </c>
      <c r="I10" s="10">
        <f>SUM(I7:I9)</f>
        <v>0</v>
      </c>
      <c r="J10" s="3"/>
      <c r="K10" s="10">
        <f>SUM(K7:K9)</f>
        <v>0</v>
      </c>
      <c r="L10" s="10">
        <f>SUM(L7:L9)</f>
        <v>0</v>
      </c>
      <c r="M10" s="50">
        <f>SUM(M7:M9)</f>
        <v>0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27"/>
      <c r="C13" s="27"/>
      <c r="D13" s="27"/>
      <c r="E13" s="27"/>
      <c r="F13" s="27"/>
      <c r="G13" s="27"/>
      <c r="H13" s="27"/>
      <c r="I13" s="27"/>
      <c r="J13" s="59"/>
      <c r="K13" s="27"/>
      <c r="L13" s="27"/>
      <c r="M13" s="57"/>
      <c r="N13" s="3"/>
      <c r="O13" s="9"/>
      <c r="P13" s="9"/>
    </row>
    <row r="14" spans="1:16" ht="14.45" x14ac:dyDescent="0.3">
      <c r="B14" s="3"/>
      <c r="C14" s="3"/>
      <c r="D14" s="3"/>
      <c r="E14" s="3"/>
      <c r="F14" s="3"/>
      <c r="G14" s="3"/>
      <c r="H14" s="3"/>
      <c r="I14" s="3"/>
      <c r="J14" s="59"/>
      <c r="K14" s="3"/>
      <c r="L14" s="3"/>
      <c r="M14" s="3"/>
      <c r="N14" s="3"/>
      <c r="O14" s="9"/>
      <c r="P14" s="9"/>
    </row>
    <row r="15" spans="1:16" ht="14.45" x14ac:dyDescent="0.3">
      <c r="B15" s="37" t="s">
        <v>71</v>
      </c>
      <c r="C15" s="86" t="s">
        <v>2</v>
      </c>
      <c r="D15" s="86" t="s">
        <v>65</v>
      </c>
      <c r="E15" s="86" t="s">
        <v>66</v>
      </c>
      <c r="F15" s="86" t="s">
        <v>67</v>
      </c>
      <c r="G15" s="86" t="s">
        <v>68</v>
      </c>
      <c r="H15" s="3"/>
      <c r="I15" s="3"/>
      <c r="J15" s="3"/>
      <c r="K15" s="114" t="s">
        <v>183</v>
      </c>
      <c r="L15" s="104"/>
      <c r="M15" s="104"/>
      <c r="N15" s="3"/>
      <c r="O15" s="9"/>
      <c r="P15" s="9"/>
    </row>
    <row r="16" spans="1:16" ht="14.45" x14ac:dyDescent="0.3">
      <c r="B16" s="32"/>
      <c r="C16" s="33"/>
      <c r="D16" s="76"/>
      <c r="E16" s="35"/>
      <c r="F16" s="36"/>
      <c r="G16" s="40"/>
      <c r="H16" s="97"/>
      <c r="I16" s="97"/>
      <c r="J16" s="97"/>
      <c r="K16" s="104" t="s">
        <v>181</v>
      </c>
      <c r="L16" s="104"/>
      <c r="M16" s="104"/>
      <c r="N16" s="104"/>
      <c r="O16" s="9"/>
      <c r="P16" s="9"/>
    </row>
    <row r="17" spans="2:16" ht="15" customHeight="1" x14ac:dyDescent="0.3">
      <c r="B17" s="32"/>
      <c r="C17" s="33"/>
      <c r="D17" s="76"/>
      <c r="E17" s="35"/>
      <c r="F17" s="36"/>
      <c r="G17" s="40"/>
      <c r="H17" s="38"/>
      <c r="I17" s="38"/>
      <c r="J17" s="38"/>
      <c r="K17" s="104"/>
      <c r="L17" s="104"/>
      <c r="M17" s="104"/>
      <c r="N17" s="104"/>
      <c r="P17" s="9"/>
    </row>
    <row r="18" spans="2:16" ht="14.45" x14ac:dyDescent="0.3">
      <c r="B18" s="71"/>
      <c r="C18" s="75"/>
      <c r="D18" s="76"/>
      <c r="E18" s="73"/>
      <c r="F18" s="74"/>
      <c r="G18" s="69"/>
      <c r="H18" s="77"/>
      <c r="I18" s="41"/>
      <c r="J18" s="41"/>
      <c r="P18" s="9"/>
    </row>
    <row r="19" spans="2:16" ht="14.45" x14ac:dyDescent="0.3">
      <c r="B19" s="3"/>
      <c r="C19" s="75"/>
      <c r="D19" s="76"/>
      <c r="E19" s="66"/>
      <c r="F19" s="68"/>
      <c r="G19" s="63"/>
      <c r="H19" s="77"/>
      <c r="I19" s="3"/>
      <c r="J19" s="3"/>
      <c r="K19" s="9"/>
      <c r="L19" s="9"/>
      <c r="M19" s="9"/>
      <c r="P19" s="9"/>
    </row>
    <row r="20" spans="2:16" ht="14.45" x14ac:dyDescent="0.3">
      <c r="B20" s="3"/>
      <c r="C20" s="75"/>
      <c r="D20" s="76"/>
      <c r="E20" s="66"/>
      <c r="F20" s="68"/>
      <c r="G20" s="63"/>
      <c r="H20" s="78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70"/>
      <c r="H21" s="72"/>
      <c r="I21" s="72"/>
      <c r="J21" s="41"/>
      <c r="P21" s="9"/>
    </row>
    <row r="22" spans="2:16" ht="15" customHeight="1" x14ac:dyDescent="0.3">
      <c r="B22" s="71"/>
      <c r="C22" s="75"/>
      <c r="D22" s="76"/>
      <c r="E22" s="73"/>
      <c r="F22" s="68"/>
      <c r="G22" s="63"/>
      <c r="H22" s="79"/>
      <c r="I22" s="79"/>
      <c r="J22" s="41"/>
      <c r="P22" s="9"/>
    </row>
    <row r="23" spans="2:16" ht="14.45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ht="16.5" customHeight="1" x14ac:dyDescent="0.25">
      <c r="B25" s="71"/>
      <c r="C25" s="75"/>
      <c r="D25" s="76"/>
      <c r="E25" s="73"/>
      <c r="F25" s="74"/>
      <c r="G25" s="40"/>
      <c r="H25" s="79"/>
      <c r="I25" s="79"/>
      <c r="J25" s="41"/>
      <c r="P25" s="9"/>
    </row>
    <row r="26" spans="2:16" ht="15" hidden="1" customHeight="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ht="15" customHeight="1" x14ac:dyDescent="0.25">
      <c r="B27" s="9"/>
      <c r="C27" s="9"/>
      <c r="D27" s="43"/>
      <c r="E27" s="8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3"/>
      <c r="J28" s="3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ht="15" customHeight="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">
    <mergeCell ref="K1:M1"/>
    <mergeCell ref="K2:M2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4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47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116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ht="14.45" x14ac:dyDescent="0.3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90">
        <v>84.027000000000001</v>
      </c>
      <c r="D7" s="3" t="s">
        <v>133</v>
      </c>
      <c r="E7" s="3" t="s">
        <v>7</v>
      </c>
      <c r="F7" s="3" t="s">
        <v>132</v>
      </c>
      <c r="G7" s="82">
        <f>113788.91-1073.48+0.57</f>
        <v>112716.00000000001</v>
      </c>
      <c r="H7" s="16"/>
      <c r="I7" s="48">
        <f>G7+H7</f>
        <v>112716.00000000001</v>
      </c>
      <c r="J7" s="16"/>
      <c r="K7" s="118">
        <f>37913.84+28099.05+44160.74+2542.37</f>
        <v>112716</v>
      </c>
      <c r="L7" s="117"/>
      <c r="M7" s="165">
        <f>K7+L7</f>
        <v>112716</v>
      </c>
      <c r="N7" s="3"/>
      <c r="O7" s="9"/>
      <c r="P7" s="9"/>
    </row>
    <row r="8" spans="1:16" ht="14.45" x14ac:dyDescent="0.3">
      <c r="B8" s="3" t="s">
        <v>43</v>
      </c>
      <c r="C8" s="7">
        <v>84.281999999999996</v>
      </c>
      <c r="D8" s="3" t="s">
        <v>48</v>
      </c>
      <c r="E8" s="3" t="s">
        <v>7</v>
      </c>
      <c r="F8" s="3" t="s">
        <v>153</v>
      </c>
      <c r="G8" s="4">
        <v>25000</v>
      </c>
      <c r="H8" s="48">
        <v>0</v>
      </c>
      <c r="I8" s="48">
        <f>G8+H8</f>
        <v>25000</v>
      </c>
      <c r="J8" s="48"/>
      <c r="K8" s="48">
        <v>25000</v>
      </c>
      <c r="L8" s="48">
        <v>0</v>
      </c>
      <c r="M8" s="50">
        <f>K8+L8</f>
        <v>25000</v>
      </c>
      <c r="N8" s="3"/>
      <c r="O8" s="9"/>
      <c r="P8" s="9"/>
    </row>
    <row r="9" spans="1:16" ht="14.45" x14ac:dyDescent="0.3">
      <c r="B9" s="3" t="s">
        <v>208</v>
      </c>
      <c r="C9" s="7">
        <v>84.367000000000004</v>
      </c>
      <c r="D9" s="3" t="s">
        <v>207</v>
      </c>
      <c r="E9" s="3" t="s">
        <v>7</v>
      </c>
      <c r="F9" s="3" t="s">
        <v>132</v>
      </c>
      <c r="G9" s="164">
        <v>5023.5</v>
      </c>
      <c r="H9" s="164"/>
      <c r="I9" s="164">
        <f>G9+H9</f>
        <v>5023.5</v>
      </c>
      <c r="J9" s="59"/>
      <c r="K9" s="164">
        <v>2040</v>
      </c>
      <c r="L9" s="164"/>
      <c r="M9" s="165">
        <f>K9+L9</f>
        <v>2040</v>
      </c>
      <c r="N9" s="3"/>
      <c r="O9" s="9"/>
      <c r="P9" s="9"/>
    </row>
    <row r="10" spans="1:16" ht="14.45" x14ac:dyDescent="0.3">
      <c r="B10" s="3"/>
      <c r="C10" s="7"/>
      <c r="D10" s="3"/>
      <c r="E10" s="3"/>
      <c r="F10" s="3"/>
      <c r="G10" s="53"/>
      <c r="H10" s="53"/>
      <c r="I10" s="53"/>
      <c r="J10" s="59"/>
      <c r="K10" s="53"/>
      <c r="L10" s="53"/>
      <c r="M10" s="54"/>
      <c r="N10" s="3"/>
      <c r="O10" s="9"/>
      <c r="P10" s="9"/>
    </row>
    <row r="11" spans="1:16" ht="14.45" x14ac:dyDescent="0.3">
      <c r="B11" s="59"/>
      <c r="C11" s="7"/>
      <c r="D11" s="3"/>
      <c r="E11" s="3"/>
      <c r="F11" s="12"/>
      <c r="G11" s="10"/>
      <c r="H11" s="10"/>
      <c r="I11" s="10"/>
      <c r="J11" s="59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>
        <f>SUM(G7:G11)</f>
        <v>142739.5</v>
      </c>
      <c r="H12" s="10">
        <f>SUM(H7:H11)</f>
        <v>0</v>
      </c>
      <c r="I12" s="10">
        <f>SUM(I7:I11)</f>
        <v>142739.5</v>
      </c>
      <c r="J12" s="3"/>
      <c r="K12" s="163">
        <f>SUM(K7:K9)</f>
        <v>139756</v>
      </c>
      <c r="L12" s="163">
        <f>SUM(L7:L9)</f>
        <v>0</v>
      </c>
      <c r="M12" s="165">
        <f>SUM(M7:M9)</f>
        <v>139756</v>
      </c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/>
      <c r="H14" s="10"/>
      <c r="I14" s="10"/>
      <c r="J14" s="3"/>
      <c r="K14" s="10"/>
      <c r="L14" s="10"/>
      <c r="M14" s="50"/>
      <c r="N14" s="3"/>
      <c r="O14" s="9"/>
      <c r="P14" s="9"/>
    </row>
    <row r="15" spans="1:16" ht="14.45" x14ac:dyDescent="0.3">
      <c r="B15" s="27"/>
      <c r="C15" s="27"/>
      <c r="D15" s="27"/>
      <c r="E15" s="27"/>
      <c r="F15" s="27"/>
      <c r="G15" s="27"/>
      <c r="H15" s="27"/>
      <c r="I15" s="27"/>
      <c r="J15" s="59"/>
      <c r="K15" s="27"/>
      <c r="L15" s="27"/>
      <c r="M15" s="57"/>
      <c r="N15" s="3"/>
      <c r="O15" s="9"/>
      <c r="P15" s="9"/>
    </row>
    <row r="16" spans="1:16" ht="14.45" x14ac:dyDescent="0.3">
      <c r="B16" s="3"/>
      <c r="C16" s="3"/>
      <c r="D16" s="3"/>
      <c r="E16" s="3"/>
      <c r="F16" s="3"/>
      <c r="G16" s="3"/>
      <c r="H16" s="3"/>
      <c r="I16" s="3"/>
      <c r="J16" s="59"/>
      <c r="K16" s="3"/>
      <c r="L16" s="3"/>
      <c r="M16" s="3"/>
      <c r="N16" s="3"/>
      <c r="O16" s="9"/>
      <c r="P16" s="9"/>
    </row>
    <row r="17" spans="2:16" ht="14.45" x14ac:dyDescent="0.3">
      <c r="B17" s="37" t="s">
        <v>71</v>
      </c>
      <c r="C17" s="8" t="s">
        <v>2</v>
      </c>
      <c r="D17" s="8" t="s">
        <v>65</v>
      </c>
      <c r="E17" s="8" t="s">
        <v>66</v>
      </c>
      <c r="F17" s="8" t="s">
        <v>67</v>
      </c>
      <c r="G17" s="8" t="s">
        <v>68</v>
      </c>
      <c r="H17" s="3"/>
      <c r="I17" s="3"/>
      <c r="J17" s="3"/>
      <c r="K17" s="114" t="s">
        <v>183</v>
      </c>
      <c r="L17" s="104"/>
      <c r="M17" s="104"/>
      <c r="N17" s="3"/>
      <c r="O17" s="9"/>
      <c r="P17" s="9"/>
    </row>
    <row r="18" spans="2:16" ht="14.45" x14ac:dyDescent="0.3">
      <c r="B18" s="32"/>
      <c r="C18" s="33"/>
      <c r="D18" s="76"/>
      <c r="E18" s="35"/>
      <c r="F18" s="36"/>
      <c r="G18" s="40"/>
      <c r="H18" s="97"/>
      <c r="I18" s="97"/>
      <c r="J18" s="97"/>
      <c r="K18" s="104" t="s">
        <v>181</v>
      </c>
      <c r="L18" s="104"/>
      <c r="M18" s="104"/>
      <c r="N18" s="104"/>
      <c r="O18" s="9"/>
      <c r="P18" s="9"/>
    </row>
    <row r="19" spans="2:16" ht="15" customHeight="1" x14ac:dyDescent="0.3">
      <c r="B19" s="32"/>
      <c r="C19" s="33"/>
      <c r="D19" s="76"/>
      <c r="E19" s="35"/>
      <c r="F19" s="36"/>
      <c r="G19" s="40"/>
      <c r="H19" s="38"/>
      <c r="I19" s="38"/>
      <c r="J19" s="38"/>
      <c r="K19" s="104"/>
      <c r="L19" s="104"/>
      <c r="M19" s="104"/>
      <c r="N19" s="104"/>
      <c r="P19" s="9"/>
    </row>
    <row r="20" spans="2:16" ht="14.45" x14ac:dyDescent="0.3">
      <c r="B20" s="71"/>
      <c r="C20" s="75"/>
      <c r="D20" s="76"/>
      <c r="E20" s="73"/>
      <c r="F20" s="74"/>
      <c r="G20" s="69"/>
      <c r="H20" s="77"/>
      <c r="I20" s="41"/>
      <c r="J20" s="41"/>
      <c r="P20" s="9"/>
    </row>
    <row r="21" spans="2:16" ht="14.45" x14ac:dyDescent="0.3">
      <c r="B21" s="3"/>
      <c r="C21" s="75"/>
      <c r="D21" s="76"/>
      <c r="E21" s="66"/>
      <c r="F21" s="68"/>
      <c r="G21" s="63"/>
      <c r="H21" s="77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63"/>
      <c r="H22" s="78"/>
      <c r="I22" s="3"/>
      <c r="J22" s="3"/>
      <c r="K22" s="9"/>
      <c r="L22" s="9"/>
      <c r="M22" s="9"/>
      <c r="P22" s="9"/>
    </row>
    <row r="23" spans="2:16" ht="14.45" x14ac:dyDescent="0.3">
      <c r="B23" s="3"/>
      <c r="C23" s="75"/>
      <c r="D23" s="76"/>
      <c r="E23" s="66"/>
      <c r="F23" s="68"/>
      <c r="G23" s="70"/>
      <c r="H23" s="72"/>
      <c r="I23" s="72"/>
      <c r="J23" s="41"/>
      <c r="P23" s="9"/>
    </row>
    <row r="24" spans="2:16" ht="15" customHeight="1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x14ac:dyDescent="0.25">
      <c r="B26" s="71"/>
      <c r="C26" s="75"/>
      <c r="D26" s="76"/>
      <c r="E26" s="73"/>
      <c r="F26" s="68"/>
      <c r="G26" s="63"/>
      <c r="H26" s="79"/>
      <c r="I26" s="79"/>
      <c r="J26" s="41"/>
      <c r="P26" s="9"/>
    </row>
    <row r="27" spans="2:16" ht="16.5" customHeight="1" x14ac:dyDescent="0.25">
      <c r="B27" s="71"/>
      <c r="C27" s="75"/>
      <c r="D27" s="76"/>
      <c r="E27" s="73"/>
      <c r="F27" s="74"/>
      <c r="G27" s="40"/>
      <c r="H27" s="79"/>
      <c r="I27" s="79"/>
      <c r="J27" s="41"/>
      <c r="P27" s="9"/>
    </row>
    <row r="28" spans="2:16" ht="15" hidden="1" customHeight="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ht="15" customHeight="1" x14ac:dyDescent="0.25">
      <c r="B29" s="9"/>
      <c r="C29" s="9"/>
      <c r="D29" s="43"/>
      <c r="E29" s="8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3"/>
      <c r="J31" s="3"/>
      <c r="K31" s="9"/>
      <c r="L31" s="9"/>
      <c r="M31" s="9"/>
      <c r="N31" s="9"/>
      <c r="O31" s="9"/>
      <c r="P31" s="9"/>
    </row>
    <row r="32" spans="2:16" ht="15" customHeight="1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2" orientation="landscape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45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117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118">
        <v>111636.86</v>
      </c>
      <c r="H7" s="16"/>
      <c r="I7" s="48">
        <f>G7+H7</f>
        <v>111636.86</v>
      </c>
      <c r="J7" s="16"/>
      <c r="K7" s="179">
        <f>23437.61+36834.89+48431.46+2932.9</f>
        <v>111636.85999999999</v>
      </c>
      <c r="L7" s="117"/>
      <c r="M7" s="165">
        <f>K7+L7</f>
        <v>111636.85999999999</v>
      </c>
      <c r="N7" s="3"/>
      <c r="O7" s="9"/>
      <c r="P7" s="9"/>
    </row>
    <row r="8" spans="1:16" ht="14.45" x14ac:dyDescent="0.3">
      <c r="B8" s="3" t="s">
        <v>9</v>
      </c>
      <c r="C8" s="90">
        <v>84.027000000000001</v>
      </c>
      <c r="D8" s="3" t="s">
        <v>133</v>
      </c>
      <c r="E8" s="3" t="s">
        <v>7</v>
      </c>
      <c r="F8" s="3" t="s">
        <v>132</v>
      </c>
      <c r="G8" s="118">
        <f>84804.94-7514.36+0.42</f>
        <v>77291</v>
      </c>
      <c r="H8" s="171">
        <f>K8-G8</f>
        <v>-46770.1</v>
      </c>
      <c r="I8" s="48">
        <f>G8+H8</f>
        <v>30520.9</v>
      </c>
      <c r="J8" s="16"/>
      <c r="K8" s="179">
        <f>30520.9</f>
        <v>30520.9</v>
      </c>
      <c r="L8" s="117"/>
      <c r="M8" s="165">
        <f>K8+L8</f>
        <v>30520.9</v>
      </c>
      <c r="N8" s="3"/>
      <c r="O8" s="9"/>
      <c r="P8" s="9"/>
    </row>
    <row r="9" spans="1:16" ht="14.45" x14ac:dyDescent="0.3">
      <c r="B9" s="3" t="s">
        <v>43</v>
      </c>
      <c r="C9" s="7">
        <v>84.281999999999996</v>
      </c>
      <c r="D9" s="3" t="s">
        <v>46</v>
      </c>
      <c r="E9" s="3" t="s">
        <v>7</v>
      </c>
      <c r="F9" s="3" t="s">
        <v>153</v>
      </c>
      <c r="G9" s="4">
        <v>25000</v>
      </c>
      <c r="H9" s="48">
        <v>0</v>
      </c>
      <c r="I9" s="48">
        <f>G9+H9</f>
        <v>25000</v>
      </c>
      <c r="J9" s="48"/>
      <c r="K9" s="13">
        <v>25000</v>
      </c>
      <c r="L9" s="48">
        <v>0</v>
      </c>
      <c r="M9" s="50">
        <f>K9+L9</f>
        <v>25000</v>
      </c>
      <c r="N9" s="3"/>
      <c r="O9" s="9"/>
      <c r="P9" s="9"/>
    </row>
    <row r="10" spans="1:16" ht="14.45" x14ac:dyDescent="0.3">
      <c r="B10" s="3" t="s">
        <v>208</v>
      </c>
      <c r="C10" s="7">
        <v>84.367000000000004</v>
      </c>
      <c r="D10" s="3" t="s">
        <v>207</v>
      </c>
      <c r="E10" s="3" t="s">
        <v>7</v>
      </c>
      <c r="F10" s="3" t="s">
        <v>132</v>
      </c>
      <c r="G10" s="164">
        <v>4831.5</v>
      </c>
      <c r="H10" s="164"/>
      <c r="I10" s="164">
        <f>G10+H10</f>
        <v>4831.5</v>
      </c>
      <c r="J10" s="59"/>
      <c r="K10" s="164">
        <v>4360.97</v>
      </c>
      <c r="L10" s="164"/>
      <c r="M10" s="165">
        <f>K10+L10</f>
        <v>4360.97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3"/>
      <c r="G11" s="53"/>
      <c r="H11" s="53"/>
      <c r="I11" s="53"/>
      <c r="J11" s="59"/>
      <c r="K11" s="53"/>
      <c r="L11" s="53"/>
      <c r="M11" s="54"/>
      <c r="N11" s="3"/>
      <c r="O11" s="9"/>
      <c r="P11" s="9"/>
    </row>
    <row r="12" spans="1:16" ht="14.45" x14ac:dyDescent="0.3">
      <c r="B12" s="59"/>
      <c r="C12" s="7"/>
      <c r="D12" s="3"/>
      <c r="E12" s="3"/>
      <c r="F12" s="12"/>
      <c r="G12" s="10"/>
      <c r="H12" s="10"/>
      <c r="I12" s="10"/>
      <c r="J12" s="59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>
        <f>SUM(G7:G12)</f>
        <v>218759.36</v>
      </c>
      <c r="H13" s="174">
        <f>SUM(H7:H12)</f>
        <v>-46770.1</v>
      </c>
      <c r="I13" s="10">
        <f>SUM(I7:I12)</f>
        <v>171989.26</v>
      </c>
      <c r="J13" s="3"/>
      <c r="K13" s="165">
        <f>SUM(K7:K9)</f>
        <v>167157.75999999998</v>
      </c>
      <c r="L13" s="10">
        <f>SUM(L9:L12)</f>
        <v>0</v>
      </c>
      <c r="M13" s="50">
        <f>SUM(M7:M9)</f>
        <v>167157.75999999998</v>
      </c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/>
      <c r="H14" s="10"/>
      <c r="I14" s="10"/>
      <c r="J14" s="3"/>
      <c r="K14" s="10"/>
      <c r="L14" s="10"/>
      <c r="M14" s="50"/>
      <c r="N14" s="3"/>
      <c r="O14" s="9"/>
      <c r="P14" s="9"/>
    </row>
    <row r="15" spans="1:16" ht="14.45" x14ac:dyDescent="0.3">
      <c r="B15" s="3"/>
      <c r="C15" s="7"/>
      <c r="D15" s="3"/>
      <c r="E15" s="3"/>
      <c r="F15" s="12"/>
      <c r="G15" s="10"/>
      <c r="H15" s="10"/>
      <c r="I15" s="10"/>
      <c r="J15" s="3"/>
      <c r="K15" s="10"/>
      <c r="L15" s="10"/>
      <c r="M15" s="50"/>
      <c r="N15" s="3"/>
      <c r="O15" s="9"/>
      <c r="P15" s="9"/>
    </row>
    <row r="16" spans="1:16" ht="14.45" x14ac:dyDescent="0.3">
      <c r="B16" s="27"/>
      <c r="C16" s="27"/>
      <c r="D16" s="27"/>
      <c r="E16" s="27"/>
      <c r="F16" s="27"/>
      <c r="G16" s="27"/>
      <c r="H16" s="27"/>
      <c r="I16" s="27"/>
      <c r="J16" s="59"/>
      <c r="K16" s="27"/>
      <c r="L16" s="27"/>
      <c r="M16" s="57"/>
      <c r="N16" s="3"/>
      <c r="O16" s="9"/>
      <c r="P16" s="9"/>
    </row>
    <row r="17" spans="2:16" ht="14.45" x14ac:dyDescent="0.3">
      <c r="B17" s="3"/>
      <c r="C17" s="3"/>
      <c r="D17" s="3"/>
      <c r="E17" s="3"/>
      <c r="F17" s="3"/>
      <c r="G17" s="3"/>
      <c r="H17" s="3"/>
      <c r="I17" s="3"/>
      <c r="J17" s="59"/>
      <c r="K17" s="3"/>
      <c r="L17" s="3"/>
      <c r="M17" s="3"/>
      <c r="N17" s="3"/>
      <c r="O17" s="9"/>
      <c r="P17" s="9"/>
    </row>
    <row r="18" spans="2:16" ht="14.45" x14ac:dyDescent="0.3">
      <c r="B18" s="37" t="s">
        <v>71</v>
      </c>
      <c r="C18" s="8" t="s">
        <v>2</v>
      </c>
      <c r="D18" s="8" t="s">
        <v>65</v>
      </c>
      <c r="E18" s="8" t="s">
        <v>66</v>
      </c>
      <c r="F18" s="8" t="s">
        <v>67</v>
      </c>
      <c r="G18" s="8" t="s">
        <v>68</v>
      </c>
      <c r="H18" s="3"/>
      <c r="I18" s="3"/>
      <c r="J18" s="3"/>
      <c r="K18" s="114" t="s">
        <v>183</v>
      </c>
      <c r="L18" s="104"/>
      <c r="M18" s="104"/>
      <c r="N18" s="3"/>
      <c r="O18" s="9"/>
      <c r="P18" s="9"/>
    </row>
    <row r="19" spans="2:16" ht="14.45" x14ac:dyDescent="0.3">
      <c r="B19" s="32"/>
      <c r="C19" s="33"/>
      <c r="D19" s="76"/>
      <c r="E19" s="35"/>
      <c r="F19" s="36"/>
      <c r="G19" s="40"/>
      <c r="H19" s="97"/>
      <c r="I19" s="97"/>
      <c r="J19" s="97"/>
      <c r="K19" s="104" t="s">
        <v>181</v>
      </c>
      <c r="L19" s="104"/>
      <c r="M19" s="104"/>
      <c r="N19" s="104"/>
      <c r="O19" s="9"/>
      <c r="P19" s="9"/>
    </row>
    <row r="20" spans="2:16" ht="15" customHeight="1" x14ac:dyDescent="0.3">
      <c r="B20" s="32"/>
      <c r="C20" s="33"/>
      <c r="D20" s="76"/>
      <c r="E20" s="35"/>
      <c r="F20" s="36"/>
      <c r="G20" s="40"/>
      <c r="H20" s="38"/>
      <c r="I20" s="38"/>
      <c r="J20" s="38"/>
      <c r="K20" s="104"/>
      <c r="L20" s="104"/>
      <c r="M20" s="104"/>
      <c r="N20" s="104"/>
      <c r="P20" s="9"/>
    </row>
    <row r="21" spans="2:16" ht="14.45" x14ac:dyDescent="0.3">
      <c r="B21" s="71"/>
      <c r="C21" s="75"/>
      <c r="D21" s="76"/>
      <c r="E21" s="73"/>
      <c r="F21" s="74"/>
      <c r="G21" s="69"/>
      <c r="H21" s="77"/>
      <c r="I21" s="41"/>
      <c r="J21" s="41"/>
      <c r="P21" s="9"/>
    </row>
    <row r="22" spans="2:16" ht="14.45" x14ac:dyDescent="0.3">
      <c r="B22" s="3"/>
      <c r="C22" s="75"/>
      <c r="D22" s="76"/>
      <c r="E22" s="66"/>
      <c r="F22" s="68"/>
      <c r="G22" s="63"/>
      <c r="H22" s="77"/>
      <c r="I22" s="3"/>
      <c r="J22" s="3"/>
      <c r="K22" s="9"/>
      <c r="L22" s="9"/>
      <c r="M22" s="9"/>
      <c r="P22" s="9"/>
    </row>
    <row r="23" spans="2:16" ht="14.45" x14ac:dyDescent="0.3">
      <c r="B23" s="3"/>
      <c r="C23" s="75"/>
      <c r="D23" s="76"/>
      <c r="E23" s="66"/>
      <c r="F23" s="68"/>
      <c r="G23" s="63"/>
      <c r="H23" s="78"/>
      <c r="I23" s="3"/>
      <c r="J23" s="3"/>
      <c r="K23" s="9"/>
      <c r="L23" s="9"/>
      <c r="M23" s="9"/>
      <c r="P23" s="9"/>
    </row>
    <row r="24" spans="2:16" x14ac:dyDescent="0.25">
      <c r="B24" s="3"/>
      <c r="C24" s="75"/>
      <c r="D24" s="76"/>
      <c r="E24" s="66"/>
      <c r="F24" s="68"/>
      <c r="G24" s="70"/>
      <c r="H24" s="72"/>
      <c r="I24" s="72"/>
      <c r="J24" s="41"/>
      <c r="P24" s="9"/>
    </row>
    <row r="25" spans="2:16" ht="15" customHeight="1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x14ac:dyDescent="0.25">
      <c r="B26" s="71"/>
      <c r="C26" s="75"/>
      <c r="D26" s="76"/>
      <c r="E26" s="73"/>
      <c r="F26" s="68"/>
      <c r="G26" s="63"/>
      <c r="H26" s="79"/>
      <c r="I26" s="79"/>
      <c r="J26" s="41"/>
      <c r="P26" s="9"/>
    </row>
    <row r="27" spans="2:16" x14ac:dyDescent="0.25">
      <c r="B27" s="71"/>
      <c r="C27" s="75"/>
      <c r="D27" s="76"/>
      <c r="E27" s="73"/>
      <c r="F27" s="68"/>
      <c r="G27" s="63"/>
      <c r="H27" s="79"/>
      <c r="I27" s="79"/>
      <c r="J27" s="41"/>
      <c r="P27" s="9"/>
    </row>
    <row r="28" spans="2:16" ht="16.5" customHeight="1" x14ac:dyDescent="0.25">
      <c r="B28" s="71"/>
      <c r="C28" s="75"/>
      <c r="D28" s="76"/>
      <c r="E28" s="73"/>
      <c r="F28" s="74"/>
      <c r="G28" s="40"/>
      <c r="H28" s="79"/>
      <c r="I28" s="79"/>
      <c r="J28" s="41"/>
      <c r="P28" s="9"/>
    </row>
    <row r="29" spans="2:16" ht="15" customHeight="1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ht="15" customHeight="1" x14ac:dyDescent="0.25">
      <c r="B30" s="9"/>
      <c r="C30" s="9"/>
      <c r="D30" s="43"/>
      <c r="E30" s="8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3"/>
      <c r="J31" s="3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3"/>
      <c r="J32" s="3"/>
      <c r="K32" s="9"/>
      <c r="L32" s="9"/>
      <c r="M32" s="9"/>
      <c r="N32" s="9"/>
      <c r="O32" s="9"/>
      <c r="P32" s="9"/>
    </row>
    <row r="33" spans="2:16" ht="15" customHeight="1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38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118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153" t="s">
        <v>64</v>
      </c>
      <c r="N6" s="3"/>
      <c r="O6" s="9"/>
      <c r="P6" s="9"/>
    </row>
    <row r="7" spans="1:16" ht="14.45" x14ac:dyDescent="0.3">
      <c r="B7" s="3" t="s">
        <v>9</v>
      </c>
      <c r="C7" s="90">
        <v>84.027000000000001</v>
      </c>
      <c r="D7" s="3" t="s">
        <v>133</v>
      </c>
      <c r="E7" s="3" t="s">
        <v>7</v>
      </c>
      <c r="F7" s="3" t="s">
        <v>132</v>
      </c>
      <c r="G7" s="82">
        <f>65482.3-3220.44+0.14</f>
        <v>62262</v>
      </c>
      <c r="H7" s="171">
        <f>K7-G7</f>
        <v>-1758.3899999999994</v>
      </c>
      <c r="I7" s="48">
        <f>G7+H7</f>
        <v>60503.61</v>
      </c>
      <c r="J7" s="16"/>
      <c r="K7" s="167">
        <f>28637.16+9995.05+15927.9+5943.5</f>
        <v>60503.61</v>
      </c>
      <c r="L7" s="117"/>
      <c r="M7" s="175">
        <f>K7+L7</f>
        <v>60503.61</v>
      </c>
      <c r="N7" s="3"/>
      <c r="O7" s="9"/>
      <c r="P7" s="9"/>
    </row>
    <row r="8" spans="1:16" ht="14.45" x14ac:dyDescent="0.3">
      <c r="B8" s="3" t="s">
        <v>43</v>
      </c>
      <c r="C8" s="7">
        <v>84.281999999999996</v>
      </c>
      <c r="D8" s="3" t="s">
        <v>203</v>
      </c>
      <c r="E8" s="3" t="s">
        <v>7</v>
      </c>
      <c r="F8" s="3" t="s">
        <v>170</v>
      </c>
      <c r="G8" s="162">
        <v>175000</v>
      </c>
      <c r="H8" s="164">
        <v>275000</v>
      </c>
      <c r="I8" s="164">
        <f>G8+H8</f>
        <v>450000</v>
      </c>
      <c r="J8" s="164"/>
      <c r="K8" s="164">
        <f>250233.27+24766.73</f>
        <v>275000</v>
      </c>
      <c r="L8" s="164">
        <v>0</v>
      </c>
      <c r="M8" s="165">
        <f>K8+L8</f>
        <v>275000</v>
      </c>
      <c r="N8" s="3"/>
      <c r="O8" s="9"/>
      <c r="P8" s="9"/>
    </row>
    <row r="9" spans="1:16" ht="14.45" x14ac:dyDescent="0.3">
      <c r="B9" s="3"/>
      <c r="C9" s="7"/>
      <c r="D9" s="3"/>
      <c r="E9" s="3"/>
      <c r="F9" s="3"/>
      <c r="G9" s="67"/>
      <c r="H9" s="53"/>
      <c r="I9" s="53"/>
      <c r="J9" s="164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237262</v>
      </c>
      <c r="H11" s="10">
        <f>SUM(H7:H10)</f>
        <v>273241.61</v>
      </c>
      <c r="I11" s="10">
        <f>SUM(I7:I10)</f>
        <v>510503.61</v>
      </c>
      <c r="J11" s="3"/>
      <c r="K11" s="163">
        <f>SUM(K7:K10)</f>
        <v>335503.61</v>
      </c>
      <c r="L11" s="10"/>
      <c r="M11" s="165">
        <f>SUM(M7:M10)</f>
        <v>335503.61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3"/>
      <c r="I16" s="3"/>
      <c r="J16" s="3"/>
      <c r="K16" s="114" t="s">
        <v>183</v>
      </c>
      <c r="L16" s="104"/>
      <c r="M16" s="104"/>
      <c r="N16" s="3"/>
      <c r="O16" s="9"/>
      <c r="P16" s="9"/>
    </row>
    <row r="17" spans="2:16" ht="14.45" x14ac:dyDescent="0.3">
      <c r="B17" s="32"/>
      <c r="C17" s="33"/>
      <c r="D17" s="76"/>
      <c r="E17" s="35"/>
      <c r="F17" s="36"/>
      <c r="G17" s="40"/>
      <c r="H17" s="38"/>
      <c r="I17" s="38"/>
      <c r="J17" s="38"/>
      <c r="K17" s="104" t="s">
        <v>181</v>
      </c>
      <c r="L17" s="104"/>
      <c r="M17" s="104"/>
      <c r="N17" s="3"/>
      <c r="O17" s="9"/>
      <c r="P17" s="9"/>
    </row>
    <row r="18" spans="2:16" ht="15" customHeight="1" x14ac:dyDescent="0.3">
      <c r="B18" s="32"/>
      <c r="C18" s="33"/>
      <c r="D18" s="76"/>
      <c r="E18" s="35"/>
      <c r="F18" s="36"/>
      <c r="G18" s="40"/>
      <c r="H18" s="97"/>
      <c r="I18" s="97"/>
      <c r="J18" s="97"/>
      <c r="K18" s="115"/>
      <c r="L18" s="103"/>
      <c r="M18" s="103"/>
      <c r="N18" s="104"/>
      <c r="P18" s="9"/>
    </row>
    <row r="19" spans="2:16" ht="14.45" x14ac:dyDescent="0.3">
      <c r="B19" s="71"/>
      <c r="C19" s="75"/>
      <c r="D19" s="76"/>
      <c r="E19" s="73"/>
      <c r="F19" s="74"/>
      <c r="G19" s="69"/>
      <c r="H19" s="77"/>
      <c r="I19" s="41"/>
      <c r="J19" s="41"/>
      <c r="K19" s="104"/>
      <c r="L19" s="104"/>
      <c r="M19" s="104"/>
      <c r="N19" s="104"/>
      <c r="P19" s="9"/>
    </row>
    <row r="20" spans="2:16" ht="14.45" x14ac:dyDescent="0.3">
      <c r="B20" s="3"/>
      <c r="C20" s="75"/>
      <c r="D20" s="76"/>
      <c r="E20" s="66"/>
      <c r="F20" s="68"/>
      <c r="G20" s="63"/>
      <c r="H20" s="77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63"/>
      <c r="H21" s="78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70"/>
      <c r="H22" s="72"/>
      <c r="I22" s="72"/>
      <c r="J22" s="41"/>
      <c r="P22" s="9"/>
    </row>
    <row r="23" spans="2:16" ht="15" customHeight="1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ht="16.5" customHeight="1" x14ac:dyDescent="0.25">
      <c r="B26" s="71"/>
      <c r="C26" s="75"/>
      <c r="D26" s="76"/>
      <c r="E26" s="73"/>
      <c r="F26" s="74"/>
      <c r="G26" s="40"/>
      <c r="H26" s="79"/>
      <c r="I26" s="79"/>
      <c r="J26" s="41"/>
      <c r="P26" s="9"/>
    </row>
    <row r="27" spans="2:16" ht="15" hidden="1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ht="15" customHeight="1" x14ac:dyDescent="0.25">
      <c r="B28" s="9"/>
      <c r="C28" s="9"/>
      <c r="D28" s="43"/>
      <c r="E28" s="8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ht="1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C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23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119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9</v>
      </c>
      <c r="C7" s="65">
        <v>84.027000000000001</v>
      </c>
      <c r="D7" s="3" t="s">
        <v>133</v>
      </c>
      <c r="E7" s="3" t="s">
        <v>7</v>
      </c>
      <c r="F7" s="3" t="s">
        <v>132</v>
      </c>
      <c r="G7" s="82">
        <f>95539.75+0.25</f>
        <v>95540</v>
      </c>
      <c r="H7" s="82">
        <v>0</v>
      </c>
      <c r="I7" s="48">
        <f>G7+H7</f>
        <v>95540</v>
      </c>
      <c r="J7" s="81"/>
      <c r="K7" s="83">
        <v>95540</v>
      </c>
      <c r="L7" s="48">
        <v>0</v>
      </c>
      <c r="M7" s="50">
        <f>K7+L7</f>
        <v>95540</v>
      </c>
      <c r="N7" s="3"/>
      <c r="O7" s="9"/>
      <c r="P7" s="9"/>
    </row>
    <row r="8" spans="1:16" ht="14.45" x14ac:dyDescent="0.3">
      <c r="B8" s="3"/>
      <c r="C8" s="65"/>
      <c r="D8" s="3"/>
      <c r="E8" s="3"/>
      <c r="F8" s="3"/>
      <c r="G8" s="53"/>
      <c r="H8" s="53"/>
      <c r="I8" s="53"/>
      <c r="J8" s="59"/>
      <c r="K8" s="53"/>
      <c r="L8" s="53"/>
      <c r="M8" s="54"/>
      <c r="N8" s="3"/>
      <c r="O8" s="9"/>
      <c r="P8" s="9"/>
    </row>
    <row r="9" spans="1:16" ht="14.45" x14ac:dyDescent="0.3">
      <c r="B9" s="59"/>
      <c r="C9" s="7"/>
      <c r="D9" s="3"/>
      <c r="E9" s="3"/>
      <c r="F9" s="12"/>
      <c r="G9" s="10"/>
      <c r="H9" s="10"/>
      <c r="I9" s="10"/>
      <c r="J9" s="59"/>
      <c r="K9" s="10"/>
      <c r="L9" s="10"/>
      <c r="M9" s="50"/>
      <c r="N9" s="3"/>
      <c r="O9" s="9"/>
      <c r="P9" s="9"/>
    </row>
    <row r="10" spans="1:16" ht="14.45" x14ac:dyDescent="0.3">
      <c r="B10" s="3"/>
      <c r="C10" s="7"/>
      <c r="D10" s="3"/>
      <c r="E10" s="3"/>
      <c r="F10" s="12"/>
      <c r="G10" s="10">
        <f>SUM(G7:G9)</f>
        <v>95540</v>
      </c>
      <c r="H10" s="10">
        <f>SUM(H7:H9)</f>
        <v>0</v>
      </c>
      <c r="I10" s="10">
        <f>SUM(I7:I9)</f>
        <v>95540</v>
      </c>
      <c r="J10" s="3"/>
      <c r="K10" s="10">
        <f>SUM(K7:K9)</f>
        <v>95540</v>
      </c>
      <c r="L10" s="10">
        <f>SUM(L7:L9)</f>
        <v>0</v>
      </c>
      <c r="M10" s="50">
        <f>SUM(M7:M9)</f>
        <v>95540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27"/>
      <c r="C13" s="27"/>
      <c r="D13" s="27"/>
      <c r="E13" s="27"/>
      <c r="F13" s="27"/>
      <c r="G13" s="27"/>
      <c r="H13" s="27"/>
      <c r="I13" s="27"/>
      <c r="J13" s="59"/>
      <c r="K13" s="27"/>
      <c r="L13" s="27"/>
      <c r="M13" s="57"/>
      <c r="N13" s="3"/>
      <c r="O13" s="9"/>
      <c r="P13" s="9"/>
    </row>
    <row r="14" spans="1:16" ht="14.45" x14ac:dyDescent="0.3">
      <c r="B14" s="3"/>
      <c r="C14" s="3"/>
      <c r="D14" s="3"/>
      <c r="E14" s="3"/>
      <c r="F14" s="3"/>
      <c r="G14" s="3"/>
      <c r="H14" s="3"/>
      <c r="I14" s="3"/>
      <c r="J14" s="59"/>
      <c r="K14" s="3"/>
      <c r="L14" s="3"/>
      <c r="M14" s="3"/>
      <c r="N14" s="3"/>
      <c r="O14" s="9"/>
      <c r="P14" s="9"/>
    </row>
    <row r="15" spans="1:16" ht="14.45" x14ac:dyDescent="0.3">
      <c r="B15" s="37" t="s">
        <v>71</v>
      </c>
      <c r="C15" s="8" t="s">
        <v>2</v>
      </c>
      <c r="D15" s="8" t="s">
        <v>65</v>
      </c>
      <c r="E15" s="8" t="s">
        <v>66</v>
      </c>
      <c r="F15" s="8" t="s">
        <v>67</v>
      </c>
      <c r="G15" s="8" t="s">
        <v>68</v>
      </c>
      <c r="H15" s="3"/>
      <c r="I15" s="3"/>
      <c r="J15" s="3"/>
      <c r="K15" s="114" t="s">
        <v>183</v>
      </c>
      <c r="L15" s="104"/>
      <c r="M15" s="104"/>
      <c r="N15" s="3"/>
      <c r="O15" s="9"/>
      <c r="P15" s="9"/>
    </row>
    <row r="16" spans="1:16" ht="14.45" x14ac:dyDescent="0.3">
      <c r="B16" s="32"/>
      <c r="C16" s="33"/>
      <c r="D16" s="76"/>
      <c r="E16" s="35"/>
      <c r="F16" s="36"/>
      <c r="G16" s="40"/>
      <c r="H16" s="97"/>
      <c r="I16" s="97"/>
      <c r="J16" s="97"/>
      <c r="K16" s="104" t="s">
        <v>181</v>
      </c>
      <c r="L16" s="104"/>
      <c r="M16" s="104"/>
      <c r="N16" s="104"/>
      <c r="O16" s="9"/>
      <c r="P16" s="9"/>
    </row>
    <row r="17" spans="2:16" ht="15" customHeight="1" x14ac:dyDescent="0.3">
      <c r="B17" s="32"/>
      <c r="C17" s="33"/>
      <c r="D17" s="76"/>
      <c r="E17" s="35"/>
      <c r="F17" s="36"/>
      <c r="G17" s="40"/>
      <c r="H17" s="38"/>
      <c r="I17" s="38"/>
      <c r="J17" s="38"/>
      <c r="K17" s="104"/>
      <c r="L17" s="104"/>
      <c r="M17" s="104"/>
      <c r="N17" s="104"/>
      <c r="P17" s="9"/>
    </row>
    <row r="18" spans="2:16" ht="14.45" x14ac:dyDescent="0.3">
      <c r="B18" s="71"/>
      <c r="C18" s="75"/>
      <c r="D18" s="76"/>
      <c r="E18" s="73"/>
      <c r="F18" s="74"/>
      <c r="G18" s="69"/>
      <c r="H18" s="77"/>
      <c r="I18" s="41"/>
      <c r="J18" s="41"/>
      <c r="P18" s="9"/>
    </row>
    <row r="19" spans="2:16" ht="14.45" x14ac:dyDescent="0.3">
      <c r="B19" s="3"/>
      <c r="C19" s="75"/>
      <c r="D19" s="76"/>
      <c r="E19" s="66"/>
      <c r="F19" s="68"/>
      <c r="G19" s="63"/>
      <c r="H19" s="77"/>
      <c r="I19" s="3"/>
      <c r="J19" s="3"/>
      <c r="K19" s="9"/>
      <c r="L19" s="9"/>
      <c r="M19" s="9"/>
      <c r="P19" s="9"/>
    </row>
    <row r="20" spans="2:16" ht="14.45" x14ac:dyDescent="0.3">
      <c r="B20" s="3"/>
      <c r="C20" s="75"/>
      <c r="D20" s="76"/>
      <c r="E20" s="66"/>
      <c r="F20" s="68"/>
      <c r="G20" s="63"/>
      <c r="H20" s="78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70"/>
      <c r="H21" s="72"/>
      <c r="I21" s="72"/>
      <c r="J21" s="41"/>
      <c r="P21" s="9"/>
    </row>
    <row r="22" spans="2:16" ht="15" customHeight="1" x14ac:dyDescent="0.3">
      <c r="B22" s="71"/>
      <c r="C22" s="75"/>
      <c r="D22" s="76"/>
      <c r="E22" s="73"/>
      <c r="F22" s="68"/>
      <c r="G22" s="63"/>
      <c r="H22" s="79"/>
      <c r="I22" s="79"/>
      <c r="J22" s="41"/>
      <c r="P22" s="9"/>
    </row>
    <row r="23" spans="2:16" ht="14.45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ht="16.5" customHeight="1" x14ac:dyDescent="0.25">
      <c r="B25" s="71"/>
      <c r="C25" s="75"/>
      <c r="D25" s="76"/>
      <c r="E25" s="73"/>
      <c r="F25" s="74"/>
      <c r="G25" s="40"/>
      <c r="H25" s="79"/>
      <c r="I25" s="79"/>
      <c r="J25" s="41"/>
      <c r="P25" s="9"/>
    </row>
    <row r="26" spans="2:16" ht="15" hidden="1" customHeight="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ht="15" customHeight="1" x14ac:dyDescent="0.25">
      <c r="B27" s="9"/>
      <c r="C27" s="9"/>
      <c r="D27" s="43"/>
      <c r="E27" s="8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3"/>
      <c r="J28" s="3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ht="15" customHeight="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24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120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9</v>
      </c>
      <c r="C7" s="65">
        <v>84.027000000000001</v>
      </c>
      <c r="D7" s="3" t="s">
        <v>133</v>
      </c>
      <c r="E7" s="3" t="s">
        <v>7</v>
      </c>
      <c r="F7" s="3" t="s">
        <v>132</v>
      </c>
      <c r="G7" s="82">
        <f>113788.91+7700.65+2598.96+0.13+1.35</f>
        <v>124090.00000000001</v>
      </c>
      <c r="H7" s="82">
        <v>0</v>
      </c>
      <c r="I7" s="48">
        <f>G7+H7</f>
        <v>124090.00000000001</v>
      </c>
      <c r="J7" s="81"/>
      <c r="K7" s="83">
        <f>63941.99+60064.68+83.33</f>
        <v>124090</v>
      </c>
      <c r="L7" s="48">
        <v>0</v>
      </c>
      <c r="M7" s="50">
        <f>K7+L7</f>
        <v>124090</v>
      </c>
      <c r="N7" s="3"/>
      <c r="O7" s="9"/>
      <c r="P7" s="9"/>
    </row>
    <row r="8" spans="1:16" ht="14.45" x14ac:dyDescent="0.3">
      <c r="B8" s="3"/>
      <c r="C8" s="65"/>
      <c r="D8" s="3"/>
      <c r="E8" s="3"/>
      <c r="F8" s="3"/>
      <c r="G8" s="53"/>
      <c r="H8" s="53"/>
      <c r="I8" s="53">
        <f>G8+H8</f>
        <v>0</v>
      </c>
      <c r="J8" s="59"/>
      <c r="K8" s="53"/>
      <c r="L8" s="53"/>
      <c r="M8" s="54"/>
      <c r="N8" s="3"/>
      <c r="O8" s="9"/>
      <c r="P8" s="9"/>
    </row>
    <row r="9" spans="1:16" ht="14.45" x14ac:dyDescent="0.3">
      <c r="B9" s="59"/>
      <c r="C9" s="7"/>
      <c r="D9" s="3"/>
      <c r="E9" s="3"/>
      <c r="F9" s="12"/>
      <c r="G9" s="10"/>
      <c r="H9" s="10"/>
      <c r="I9" s="10"/>
      <c r="J9" s="3"/>
      <c r="K9" s="10"/>
      <c r="L9" s="10"/>
      <c r="M9" s="50"/>
      <c r="N9" s="3"/>
      <c r="O9" s="9"/>
      <c r="P9" s="9"/>
    </row>
    <row r="10" spans="1:16" ht="14.45" x14ac:dyDescent="0.3">
      <c r="B10" s="3"/>
      <c r="C10" s="7"/>
      <c r="D10" s="3"/>
      <c r="E10" s="3"/>
      <c r="F10" s="12"/>
      <c r="G10" s="10">
        <f>SUM(G7:G9)</f>
        <v>124090.00000000001</v>
      </c>
      <c r="H10" s="10">
        <f>SUM(H7:H9)</f>
        <v>0</v>
      </c>
      <c r="I10" s="10">
        <f>SUM(I7:I9)</f>
        <v>124090.00000000001</v>
      </c>
      <c r="J10" s="3"/>
      <c r="K10" s="10">
        <f>SUM(K7:K9)</f>
        <v>124090</v>
      </c>
      <c r="L10" s="10">
        <f>SUM(L7:L9)</f>
        <v>0</v>
      </c>
      <c r="M10" s="50">
        <f>SUM(M7:M9)</f>
        <v>124090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27"/>
      <c r="C13" s="27"/>
      <c r="D13" s="27"/>
      <c r="E13" s="27"/>
      <c r="F13" s="27"/>
      <c r="G13" s="27"/>
      <c r="H13" s="27"/>
      <c r="I13" s="27"/>
      <c r="J13" s="59"/>
      <c r="K13" s="27"/>
      <c r="L13" s="27"/>
      <c r="M13" s="57"/>
      <c r="N13" s="3"/>
      <c r="O13" s="9"/>
      <c r="P13" s="9"/>
    </row>
    <row r="14" spans="1:16" ht="14.4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9"/>
      <c r="P14" s="9"/>
    </row>
    <row r="15" spans="1:16" ht="14.45" x14ac:dyDescent="0.3">
      <c r="B15" s="37" t="s">
        <v>71</v>
      </c>
      <c r="C15" s="8" t="s">
        <v>2</v>
      </c>
      <c r="D15" s="8" t="s">
        <v>65</v>
      </c>
      <c r="E15" s="8" t="s">
        <v>66</v>
      </c>
      <c r="F15" s="8" t="s">
        <v>67</v>
      </c>
      <c r="G15" s="8" t="s">
        <v>68</v>
      </c>
      <c r="H15" s="90"/>
      <c r="I15" s="90"/>
      <c r="J15" s="90"/>
      <c r="K15" s="115" t="s">
        <v>183</v>
      </c>
      <c r="L15" s="103"/>
      <c r="M15" s="103"/>
      <c r="N15" s="104"/>
      <c r="O15" s="9"/>
      <c r="P15" s="9"/>
    </row>
    <row r="16" spans="1:16" ht="14.45" x14ac:dyDescent="0.3">
      <c r="B16" s="32"/>
      <c r="C16" s="33"/>
      <c r="D16" s="76"/>
      <c r="E16" s="35"/>
      <c r="F16" s="36"/>
      <c r="G16" s="40"/>
      <c r="H16" s="38"/>
      <c r="I16" s="38"/>
      <c r="J16" s="38"/>
      <c r="K16" s="104" t="s">
        <v>181</v>
      </c>
      <c r="L16" s="104"/>
      <c r="M16" s="104"/>
      <c r="N16" s="104"/>
      <c r="O16" s="9"/>
      <c r="P16" s="9"/>
    </row>
    <row r="17" spans="2:16" ht="15" customHeight="1" x14ac:dyDescent="0.3">
      <c r="B17" s="32"/>
      <c r="C17" s="33"/>
      <c r="D17" s="76"/>
      <c r="E17" s="35"/>
      <c r="F17" s="36"/>
      <c r="G17" s="40"/>
      <c r="H17" s="38"/>
      <c r="I17" s="38"/>
      <c r="J17" s="38"/>
      <c r="K17" s="9"/>
      <c r="P17" s="9"/>
    </row>
    <row r="18" spans="2:16" ht="14.45" x14ac:dyDescent="0.3">
      <c r="B18" s="71"/>
      <c r="C18" s="75"/>
      <c r="D18" s="76"/>
      <c r="E18" s="73"/>
      <c r="F18" s="74"/>
      <c r="G18" s="69"/>
      <c r="H18" s="77"/>
      <c r="I18" s="41"/>
      <c r="J18" s="41"/>
      <c r="P18" s="9"/>
    </row>
    <row r="19" spans="2:16" ht="14.45" x14ac:dyDescent="0.3">
      <c r="B19" s="3"/>
      <c r="C19" s="75"/>
      <c r="D19" s="76"/>
      <c r="E19" s="66"/>
      <c r="F19" s="68"/>
      <c r="G19" s="63"/>
      <c r="H19" s="77"/>
      <c r="I19" s="3"/>
      <c r="J19" s="3"/>
      <c r="K19" s="9"/>
      <c r="L19" s="9"/>
      <c r="M19" s="9"/>
      <c r="P19" s="9"/>
    </row>
    <row r="20" spans="2:16" ht="14.45" x14ac:dyDescent="0.3">
      <c r="B20" s="3"/>
      <c r="C20" s="75"/>
      <c r="D20" s="76"/>
      <c r="E20" s="66"/>
      <c r="F20" s="68"/>
      <c r="G20" s="63"/>
      <c r="H20" s="78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70"/>
      <c r="H21" s="72"/>
      <c r="I21" s="72"/>
      <c r="J21" s="41"/>
      <c r="P21" s="9"/>
    </row>
    <row r="22" spans="2:16" ht="15" customHeight="1" x14ac:dyDescent="0.3">
      <c r="B22" s="71"/>
      <c r="C22" s="75"/>
      <c r="D22" s="76"/>
      <c r="E22" s="73"/>
      <c r="F22" s="68"/>
      <c r="G22" s="63"/>
      <c r="H22" s="79"/>
      <c r="I22" s="79"/>
      <c r="J22" s="41"/>
      <c r="P22" s="9"/>
    </row>
    <row r="23" spans="2:16" ht="14.45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ht="16.5" customHeight="1" x14ac:dyDescent="0.25">
      <c r="B25" s="71"/>
      <c r="C25" s="75"/>
      <c r="D25" s="76"/>
      <c r="E25" s="73"/>
      <c r="F25" s="74"/>
      <c r="G25" s="40"/>
      <c r="H25" s="79"/>
      <c r="I25" s="79"/>
      <c r="J25" s="41"/>
      <c r="P25" s="9"/>
    </row>
    <row r="26" spans="2:16" ht="15" hidden="1" customHeight="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ht="15" customHeight="1" x14ac:dyDescent="0.25">
      <c r="B27" s="9"/>
      <c r="C27" s="9"/>
      <c r="D27" s="43"/>
      <c r="E27" s="8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3"/>
      <c r="J28" s="3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ht="15" customHeight="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F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18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121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65">
        <v>84.027000000000001</v>
      </c>
      <c r="D7" s="3" t="s">
        <v>133</v>
      </c>
      <c r="E7" s="3" t="s">
        <v>7</v>
      </c>
      <c r="F7" s="3" t="s">
        <v>132</v>
      </c>
      <c r="G7" s="82">
        <f>30057.45-2146.96</f>
        <v>27910.49</v>
      </c>
      <c r="H7" s="171">
        <f>K7-G7</f>
        <v>-7033.2400000000016</v>
      </c>
      <c r="I7" s="48">
        <f>G7+H7</f>
        <v>20877.25</v>
      </c>
      <c r="J7" s="81"/>
      <c r="K7" s="83">
        <v>20877.25</v>
      </c>
      <c r="L7" s="48">
        <v>0</v>
      </c>
      <c r="M7" s="50">
        <f>K7+L7</f>
        <v>20877.25</v>
      </c>
      <c r="N7" s="3"/>
      <c r="O7" s="9"/>
      <c r="P7" s="9"/>
    </row>
    <row r="8" spans="1:16" ht="14.45" x14ac:dyDescent="0.3">
      <c r="B8" s="3" t="s">
        <v>167</v>
      </c>
      <c r="C8" s="7">
        <v>84.367000000000004</v>
      </c>
      <c r="D8" s="3" t="s">
        <v>144</v>
      </c>
      <c r="E8" s="3" t="s">
        <v>7</v>
      </c>
      <c r="F8" s="3" t="s">
        <v>132</v>
      </c>
      <c r="G8" s="82">
        <v>1528.41</v>
      </c>
      <c r="H8" s="82">
        <v>0</v>
      </c>
      <c r="I8" s="48">
        <f>G8+H8</f>
        <v>1528.41</v>
      </c>
      <c r="J8" s="81"/>
      <c r="K8" s="83">
        <f>538.25+990.16</f>
        <v>1528.4099999999999</v>
      </c>
      <c r="L8" s="48">
        <v>0</v>
      </c>
      <c r="M8" s="50">
        <f>K8+L8</f>
        <v>1528.4099999999999</v>
      </c>
      <c r="N8" s="3"/>
      <c r="O8" s="9"/>
      <c r="P8" s="9"/>
    </row>
    <row r="9" spans="1:16" ht="14.45" x14ac:dyDescent="0.3">
      <c r="B9" s="3"/>
      <c r="C9" s="65"/>
      <c r="D9" s="3"/>
      <c r="E9" s="3"/>
      <c r="F9" s="3"/>
      <c r="G9" s="53"/>
      <c r="H9" s="53"/>
      <c r="I9" s="53"/>
      <c r="J9" s="59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29438.9</v>
      </c>
      <c r="H11" s="174">
        <f>SUM(H7:H10)</f>
        <v>-7033.2400000000016</v>
      </c>
      <c r="I11" s="10">
        <f>SUM(I7:I10)</f>
        <v>22405.66</v>
      </c>
      <c r="J11" s="3"/>
      <c r="K11" s="10">
        <f>SUM(K7:K10)</f>
        <v>22405.66</v>
      </c>
      <c r="L11" s="10">
        <f>SUM(L7:L10)</f>
        <v>0</v>
      </c>
      <c r="M11" s="50">
        <f>SUM(M7:M10)</f>
        <v>22405.66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59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99"/>
      <c r="I14" s="99"/>
      <c r="J14" s="101"/>
      <c r="K14" s="105"/>
      <c r="L14" s="105"/>
      <c r="M14" s="106"/>
      <c r="N14" s="104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104"/>
      <c r="L15" s="104"/>
      <c r="M15" s="104"/>
      <c r="N15" s="104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3"/>
      <c r="I16" s="3"/>
      <c r="J16" s="3"/>
      <c r="K16" s="115" t="s">
        <v>183</v>
      </c>
      <c r="L16" s="102"/>
      <c r="M16" s="102"/>
      <c r="N16" s="3"/>
      <c r="O16" s="9"/>
      <c r="P16" s="9"/>
    </row>
    <row r="17" spans="2:16" ht="14.45" x14ac:dyDescent="0.3">
      <c r="B17" s="32"/>
      <c r="C17" s="33"/>
      <c r="D17" s="76"/>
      <c r="E17" s="35"/>
      <c r="F17" s="36"/>
      <c r="G17" s="40"/>
      <c r="H17" s="38"/>
      <c r="I17" s="38"/>
      <c r="J17" s="38"/>
      <c r="K17" s="104" t="s">
        <v>181</v>
      </c>
      <c r="L17" s="104"/>
      <c r="M17" s="104"/>
      <c r="N17" s="3"/>
      <c r="O17" s="9"/>
      <c r="P17" s="9"/>
    </row>
    <row r="18" spans="2:16" ht="15" customHeight="1" x14ac:dyDescent="0.3">
      <c r="B18" s="3"/>
      <c r="C18" s="75"/>
      <c r="D18" s="76"/>
      <c r="E18" s="73"/>
      <c r="F18" s="74"/>
      <c r="G18" s="69"/>
      <c r="H18" s="77"/>
      <c r="I18" s="38"/>
      <c r="J18" s="38"/>
      <c r="K18" s="9"/>
      <c r="P18" s="9"/>
    </row>
    <row r="19" spans="2:16" ht="14.45" x14ac:dyDescent="0.3">
      <c r="B19" s="71"/>
      <c r="C19" s="75"/>
      <c r="D19" s="76"/>
      <c r="E19" s="73"/>
      <c r="F19" s="74"/>
      <c r="G19" s="69"/>
      <c r="H19" s="77"/>
      <c r="I19" s="41"/>
      <c r="J19" s="41"/>
      <c r="P19" s="9"/>
    </row>
    <row r="20" spans="2:16" ht="14.45" x14ac:dyDescent="0.3">
      <c r="B20" s="3"/>
      <c r="C20" s="75"/>
      <c r="D20" s="76"/>
      <c r="E20" s="66"/>
      <c r="F20" s="68"/>
      <c r="G20" s="63"/>
      <c r="H20" s="77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63"/>
      <c r="H21" s="78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70"/>
      <c r="H22" s="72"/>
      <c r="I22" s="72"/>
      <c r="J22" s="41"/>
      <c r="P22" s="9"/>
    </row>
    <row r="23" spans="2:16" ht="15" customHeight="1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ht="16.5" customHeight="1" x14ac:dyDescent="0.25">
      <c r="B26" s="71"/>
      <c r="C26" s="75"/>
      <c r="D26" s="76"/>
      <c r="E26" s="73"/>
      <c r="F26" s="74"/>
      <c r="G26" s="40"/>
      <c r="H26" s="79"/>
      <c r="I26" s="79"/>
      <c r="J26" s="41"/>
      <c r="P26" s="9"/>
    </row>
    <row r="27" spans="2:16" ht="15" hidden="1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ht="15" customHeight="1" x14ac:dyDescent="0.25">
      <c r="B28" s="9"/>
      <c r="C28" s="9"/>
      <c r="D28" s="43"/>
      <c r="E28" s="8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ht="1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53.140625" customWidth="1"/>
    <col min="3" max="3" width="9" bestFit="1" customWidth="1"/>
    <col min="4" max="4" width="17" bestFit="1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x14ac:dyDescent="0.25">
      <c r="B1" s="15" t="s">
        <v>158</v>
      </c>
      <c r="K1" s="187" t="s">
        <v>139</v>
      </c>
      <c r="L1" s="187"/>
      <c r="M1" s="187"/>
    </row>
    <row r="2" spans="1:16" x14ac:dyDescent="0.25">
      <c r="B2" s="15" t="s">
        <v>134</v>
      </c>
      <c r="G2" s="169">
        <v>41571</v>
      </c>
      <c r="H2" s="169">
        <v>41820</v>
      </c>
      <c r="J2" s="41"/>
      <c r="K2" s="185" t="s">
        <v>129</v>
      </c>
      <c r="L2" s="185"/>
      <c r="M2" s="185"/>
    </row>
    <row r="3" spans="1:16" x14ac:dyDescent="0.25">
      <c r="A3" t="s">
        <v>26</v>
      </c>
      <c r="B3" s="85" t="s">
        <v>157</v>
      </c>
      <c r="C3" s="1"/>
      <c r="D3" s="1"/>
      <c r="E3" s="9"/>
      <c r="F3" s="9"/>
      <c r="G3" s="9"/>
      <c r="H3" s="9"/>
      <c r="I3" s="9"/>
      <c r="J3" s="42"/>
      <c r="K3" s="17"/>
      <c r="L3" s="18"/>
      <c r="M3" s="9"/>
      <c r="N3" s="9"/>
      <c r="O3" s="9"/>
      <c r="P3" s="9"/>
    </row>
    <row r="4" spans="1:16" x14ac:dyDescent="0.25">
      <c r="C4" s="9"/>
      <c r="D4" s="9"/>
      <c r="E4" s="9"/>
      <c r="F4" s="9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9"/>
      <c r="C5" s="9"/>
      <c r="D5" s="9"/>
      <c r="E5" s="9"/>
      <c r="F5" s="9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6" t="s">
        <v>1</v>
      </c>
      <c r="C6" s="86" t="s">
        <v>2</v>
      </c>
      <c r="D6" s="86" t="s">
        <v>3</v>
      </c>
      <c r="E6" s="86" t="s">
        <v>4</v>
      </c>
      <c r="F6" s="86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44" t="s">
        <v>63</v>
      </c>
      <c r="M6" s="170" t="s">
        <v>64</v>
      </c>
      <c r="N6" s="9"/>
      <c r="O6" s="9"/>
      <c r="P6" s="9"/>
    </row>
    <row r="7" spans="1:16" x14ac:dyDescent="0.25">
      <c r="A7">
        <v>4201</v>
      </c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7">
        <v>46427.81</v>
      </c>
      <c r="H7" s="46">
        <f t="shared" ref="H7" si="0">SUM(H3:H6)</f>
        <v>0</v>
      </c>
      <c r="I7" s="10">
        <f>G7+H7</f>
        <v>46427.81</v>
      </c>
      <c r="J7" s="48"/>
      <c r="K7" s="10">
        <f>40192+5500</f>
        <v>45692</v>
      </c>
      <c r="L7" s="10"/>
      <c r="M7" s="49">
        <f>K7+L7</f>
        <v>45692</v>
      </c>
      <c r="N7" s="9"/>
      <c r="O7" s="9"/>
      <c r="P7" s="9"/>
    </row>
    <row r="8" spans="1:16" ht="14.45" x14ac:dyDescent="0.3">
      <c r="B8" s="3" t="s">
        <v>9</v>
      </c>
      <c r="C8" s="90">
        <v>84.027000000000001</v>
      </c>
      <c r="D8" s="3" t="s">
        <v>133</v>
      </c>
      <c r="E8" s="3" t="s">
        <v>7</v>
      </c>
      <c r="F8" s="3" t="s">
        <v>132</v>
      </c>
      <c r="G8" s="47">
        <f>10734.8+0.2</f>
        <v>10735</v>
      </c>
      <c r="H8" s="174">
        <f>K8-G8</f>
        <v>-5941.25</v>
      </c>
      <c r="I8" s="10">
        <f>G8+H8</f>
        <v>4793.75</v>
      </c>
      <c r="J8" s="48"/>
      <c r="K8" s="10">
        <f>2161.25+2632.5</f>
        <v>4793.75</v>
      </c>
      <c r="L8" s="10"/>
      <c r="M8" s="165">
        <f>K8+L8</f>
        <v>4793.75</v>
      </c>
      <c r="N8" s="9"/>
      <c r="O8" s="9"/>
      <c r="P8" s="9"/>
    </row>
    <row r="9" spans="1:16" ht="15" customHeight="1" x14ac:dyDescent="0.3">
      <c r="G9" s="51"/>
      <c r="H9" s="52"/>
      <c r="I9" s="53"/>
      <c r="J9" s="48"/>
      <c r="K9" s="53"/>
      <c r="L9" s="52"/>
      <c r="M9" s="54"/>
      <c r="N9" s="9"/>
      <c r="O9" s="9"/>
      <c r="P9" s="9"/>
    </row>
    <row r="10" spans="1:16" ht="14.45" x14ac:dyDescent="0.3">
      <c r="B10" s="3"/>
      <c r="C10" s="90"/>
      <c r="D10" s="3"/>
      <c r="E10" s="3"/>
      <c r="F10" s="3"/>
      <c r="G10" s="46"/>
      <c r="H10" s="46"/>
      <c r="I10" s="46"/>
      <c r="J10" s="46"/>
      <c r="K10" s="46"/>
      <c r="L10" s="46"/>
      <c r="M10" s="55"/>
      <c r="N10" s="9"/>
      <c r="O10" s="9"/>
      <c r="P10" s="9"/>
    </row>
    <row r="11" spans="1:16" ht="14.45" x14ac:dyDescent="0.3">
      <c r="B11" s="6"/>
      <c r="C11" s="9"/>
      <c r="D11" s="9"/>
      <c r="E11" s="9"/>
      <c r="F11" s="43" t="s">
        <v>70</v>
      </c>
      <c r="G11" s="10">
        <f>SUM(G7:G10)</f>
        <v>57162.81</v>
      </c>
      <c r="H11" s="174">
        <f t="shared" ref="H11:I11" si="1">SUM(H7:H10)</f>
        <v>-5941.25</v>
      </c>
      <c r="I11" s="10">
        <f t="shared" si="1"/>
        <v>51221.56</v>
      </c>
      <c r="J11" s="10"/>
      <c r="K11" s="10">
        <f>SUM(K7:K10)</f>
        <v>50485.75</v>
      </c>
      <c r="L11" s="10">
        <f>SUM(L7:L10)</f>
        <v>0</v>
      </c>
      <c r="M11" s="50">
        <f>SUM(M7:M10)</f>
        <v>50485.75</v>
      </c>
      <c r="N11" s="9"/>
      <c r="O11" s="9"/>
      <c r="P11" s="9"/>
    </row>
    <row r="12" spans="1:16" ht="14.45" x14ac:dyDescent="0.3">
      <c r="B12" s="3"/>
      <c r="C12" s="9"/>
      <c r="D12" s="9"/>
      <c r="E12" s="9"/>
      <c r="F12" s="9"/>
      <c r="G12" s="9"/>
      <c r="H12" s="9"/>
      <c r="I12" s="9"/>
      <c r="J12" s="9"/>
      <c r="K12" s="9"/>
      <c r="L12" s="9"/>
      <c r="M12" s="29"/>
      <c r="N12" s="9"/>
      <c r="O12" s="9"/>
      <c r="P12" s="9"/>
    </row>
    <row r="13" spans="1:16" ht="14.45" x14ac:dyDescent="0.3">
      <c r="B13" s="3"/>
      <c r="C13" s="9"/>
      <c r="D13" s="9"/>
      <c r="E13" s="9"/>
      <c r="F13" s="9"/>
      <c r="G13" s="9"/>
      <c r="H13" s="9"/>
      <c r="I13" s="9"/>
      <c r="J13" s="9"/>
      <c r="K13" s="9"/>
      <c r="L13" s="9"/>
      <c r="M13" s="29"/>
      <c r="N13" s="9"/>
      <c r="O13" s="9"/>
      <c r="P13" s="9"/>
    </row>
    <row r="14" spans="1:16" ht="14.45" x14ac:dyDescent="0.3">
      <c r="B14" s="27"/>
      <c r="C14" s="28"/>
      <c r="D14" s="28"/>
      <c r="E14" s="28"/>
      <c r="F14" s="28"/>
      <c r="G14" s="28"/>
      <c r="H14" s="28"/>
      <c r="I14" s="28"/>
      <c r="J14" s="42"/>
      <c r="K14" s="28"/>
      <c r="L14" s="28"/>
      <c r="M14" s="30"/>
      <c r="N14" s="9"/>
      <c r="O14" s="9"/>
      <c r="P14" s="9"/>
    </row>
    <row r="15" spans="1:16" ht="14.45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14.45" x14ac:dyDescent="0.3">
      <c r="B16" s="37" t="s">
        <v>71</v>
      </c>
      <c r="C16" s="86" t="s">
        <v>2</v>
      </c>
      <c r="D16" s="86" t="s">
        <v>65</v>
      </c>
      <c r="E16" s="86" t="s">
        <v>66</v>
      </c>
      <c r="F16" s="86" t="s">
        <v>67</v>
      </c>
      <c r="G16" s="86" t="s">
        <v>68</v>
      </c>
      <c r="H16" s="90"/>
      <c r="I16" s="98"/>
      <c r="J16" s="98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1"/>
      <c r="C17" s="16"/>
      <c r="D17" s="16"/>
      <c r="E17" s="3"/>
      <c r="F17" s="3"/>
      <c r="G17" s="3"/>
      <c r="H17" s="3"/>
      <c r="K17" s="104" t="s">
        <v>181</v>
      </c>
      <c r="L17" s="104"/>
      <c r="M17" s="104"/>
      <c r="N17" s="104"/>
      <c r="O17" s="9"/>
      <c r="P17" s="9"/>
    </row>
    <row r="18" spans="2:16" ht="14.45" x14ac:dyDescent="0.3">
      <c r="B18" s="32"/>
      <c r="C18" s="33"/>
      <c r="D18" s="76"/>
      <c r="E18" s="35"/>
      <c r="F18" s="36"/>
      <c r="G18" s="40"/>
      <c r="H18" s="38"/>
      <c r="I18" s="38"/>
      <c r="J18" s="38"/>
      <c r="K18" s="9"/>
      <c r="L18" s="9"/>
      <c r="M18" s="9"/>
      <c r="N18" s="9"/>
      <c r="O18" s="9"/>
      <c r="P18" s="9"/>
    </row>
    <row r="19" spans="2:16" ht="14.45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ht="14.45" x14ac:dyDescent="0.3">
      <c r="B20" s="9"/>
      <c r="C20" s="9"/>
      <c r="D20" s="9"/>
      <c r="E20" s="9"/>
      <c r="F20" s="9"/>
      <c r="G20" s="9"/>
      <c r="H20" s="9"/>
      <c r="I20" s="3"/>
      <c r="J20" s="3"/>
      <c r="K20" s="9"/>
      <c r="L20" s="9"/>
      <c r="M20" s="9"/>
      <c r="N20" s="9"/>
      <c r="O20" s="9"/>
      <c r="P20" s="9"/>
    </row>
    <row r="21" spans="2:16" ht="14.45" x14ac:dyDescent="0.3">
      <c r="B21" s="9"/>
      <c r="C21" s="9"/>
      <c r="D21" s="9"/>
      <c r="E21" s="9"/>
      <c r="F21" s="9"/>
      <c r="G21" s="9"/>
      <c r="H21" s="9"/>
      <c r="I21" s="3"/>
      <c r="J21" s="3"/>
      <c r="K21" s="9"/>
      <c r="L21" s="9"/>
      <c r="M21" s="9"/>
      <c r="N21" s="9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1:M1"/>
    <mergeCell ref="K2:M2"/>
  </mergeCells>
  <printOptions horizontalCentered="1" gridLines="1"/>
  <pageMargins left="0" right="0" top="0.75" bottom="0.75" header="0.3" footer="0.3"/>
  <pageSetup paperSize="5" scale="82" orientation="landscape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83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122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82">
        <v>6574.09</v>
      </c>
      <c r="H7" s="82">
        <v>0</v>
      </c>
      <c r="I7" s="48">
        <f>G7+H7</f>
        <v>6574.09</v>
      </c>
      <c r="J7" s="81"/>
      <c r="K7" s="83">
        <f>6411.27</f>
        <v>6411.27</v>
      </c>
      <c r="L7" s="48"/>
      <c r="M7" s="50">
        <f>K7+L7</f>
        <v>6411.27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82">
        <f>66555.78+0.22</f>
        <v>66556</v>
      </c>
      <c r="H8" s="171">
        <f>K8-G8</f>
        <v>-19723.839999999997</v>
      </c>
      <c r="I8" s="48">
        <f>G8+H8</f>
        <v>46832.160000000003</v>
      </c>
      <c r="J8" s="81"/>
      <c r="K8" s="83">
        <v>46832.160000000003</v>
      </c>
      <c r="L8" s="48">
        <v>0</v>
      </c>
      <c r="M8" s="50">
        <f>K8+L8</f>
        <v>46832.160000000003</v>
      </c>
      <c r="N8" s="3"/>
      <c r="O8" s="9"/>
      <c r="P8" s="9"/>
    </row>
    <row r="9" spans="1:16" ht="14.45" x14ac:dyDescent="0.3">
      <c r="B9" s="3"/>
      <c r="C9" s="65"/>
      <c r="D9" s="3"/>
      <c r="E9" s="3"/>
      <c r="F9" s="3"/>
      <c r="G9" s="53"/>
      <c r="H9" s="53"/>
      <c r="I9" s="53"/>
      <c r="J9" s="59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73130.09</v>
      </c>
      <c r="H11" s="174">
        <f>SUM(H7:H10)</f>
        <v>-19723.839999999997</v>
      </c>
      <c r="I11" s="10">
        <f>SUM(I7:I10)</f>
        <v>53406.25</v>
      </c>
      <c r="J11" s="3"/>
      <c r="K11" s="10">
        <f>SUM(K7:K10)</f>
        <v>53243.430000000008</v>
      </c>
      <c r="L11" s="10">
        <f>SUM(L7:L10)</f>
        <v>0</v>
      </c>
      <c r="M11" s="50">
        <f>SUM(M7:M10)</f>
        <v>53243.430000000008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76"/>
      <c r="E17" s="35"/>
      <c r="F17" s="36"/>
      <c r="G17" s="40"/>
      <c r="H17" s="38"/>
      <c r="I17" s="38"/>
      <c r="J17" s="38"/>
      <c r="K17" s="104" t="s">
        <v>181</v>
      </c>
      <c r="L17" s="104"/>
      <c r="M17" s="104"/>
      <c r="N17" s="104"/>
      <c r="O17" s="9"/>
      <c r="P17" s="9"/>
    </row>
    <row r="18" spans="2:16" ht="15" customHeight="1" x14ac:dyDescent="0.3">
      <c r="B18" s="32"/>
      <c r="C18" s="33"/>
      <c r="D18" s="76"/>
      <c r="E18" s="35"/>
      <c r="F18" s="36"/>
      <c r="G18" s="40"/>
      <c r="H18" s="38"/>
      <c r="I18" s="38"/>
      <c r="J18" s="38"/>
      <c r="K18" s="9"/>
      <c r="P18" s="9"/>
    </row>
    <row r="19" spans="2:16" ht="14.45" x14ac:dyDescent="0.3">
      <c r="B19" s="71"/>
      <c r="C19" s="75"/>
      <c r="D19" s="76"/>
      <c r="E19" s="73"/>
      <c r="F19" s="74"/>
      <c r="G19" s="69"/>
      <c r="H19" s="77"/>
      <c r="I19" s="41"/>
      <c r="J19" s="41"/>
      <c r="P19" s="9"/>
    </row>
    <row r="20" spans="2:16" ht="14.45" x14ac:dyDescent="0.3">
      <c r="B20" s="3"/>
      <c r="C20" s="75"/>
      <c r="D20" s="76"/>
      <c r="E20" s="66"/>
      <c r="F20" s="68"/>
      <c r="G20" s="63"/>
      <c r="H20" s="77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63"/>
      <c r="H21" s="78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70"/>
      <c r="H22" s="72"/>
      <c r="I22" s="72"/>
      <c r="J22" s="41"/>
      <c r="P22" s="9"/>
    </row>
    <row r="23" spans="2:16" ht="15" customHeight="1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ht="16.5" customHeight="1" x14ac:dyDescent="0.25">
      <c r="B26" s="71"/>
      <c r="C26" s="75"/>
      <c r="D26" s="76"/>
      <c r="E26" s="73"/>
      <c r="F26" s="74"/>
      <c r="G26" s="40"/>
      <c r="H26" s="79"/>
      <c r="I26" s="79"/>
      <c r="J26" s="41"/>
      <c r="P26" s="9"/>
    </row>
    <row r="27" spans="2:16" ht="15" hidden="1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ht="15" customHeight="1" x14ac:dyDescent="0.25">
      <c r="B28" s="9"/>
      <c r="C28" s="9"/>
      <c r="D28" s="43"/>
      <c r="E28" s="8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ht="1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159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160</v>
      </c>
      <c r="C3" s="15"/>
      <c r="D3" s="15"/>
      <c r="E3" s="3"/>
      <c r="F3" s="3"/>
      <c r="G3" s="3"/>
      <c r="H3" s="3"/>
      <c r="I3" s="3"/>
      <c r="J3" s="59"/>
      <c r="K3" s="90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6" t="s">
        <v>1</v>
      </c>
      <c r="C6" s="86" t="s">
        <v>2</v>
      </c>
      <c r="D6" s="86" t="s">
        <v>3</v>
      </c>
      <c r="E6" s="86" t="s">
        <v>4</v>
      </c>
      <c r="F6" s="86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90">
        <v>84.027000000000001</v>
      </c>
      <c r="D7" s="3" t="s">
        <v>133</v>
      </c>
      <c r="E7" s="3" t="s">
        <v>7</v>
      </c>
      <c r="F7" s="3" t="s">
        <v>132</v>
      </c>
      <c r="G7" s="82">
        <f>49380.09-26837</f>
        <v>22543.089999999997</v>
      </c>
      <c r="H7" s="171">
        <f>K7-G7</f>
        <v>-8.999999999650754E-2</v>
      </c>
      <c r="I7" s="48">
        <f>G7+H7</f>
        <v>22543</v>
      </c>
      <c r="J7" s="81"/>
      <c r="K7" s="83">
        <v>22543</v>
      </c>
      <c r="L7" s="48"/>
      <c r="M7" s="50">
        <f>K7+L7</f>
        <v>22543</v>
      </c>
      <c r="N7" s="3"/>
      <c r="O7" s="9"/>
      <c r="P7" s="9"/>
    </row>
    <row r="8" spans="1:16" ht="14.45" x14ac:dyDescent="0.3">
      <c r="B8" s="3"/>
      <c r="C8" s="90"/>
      <c r="D8" s="3"/>
      <c r="E8" s="3"/>
      <c r="F8" s="3"/>
      <c r="G8" s="53"/>
      <c r="H8" s="53"/>
      <c r="I8" s="53"/>
      <c r="J8" s="59"/>
      <c r="K8" s="53"/>
      <c r="L8" s="53"/>
      <c r="M8" s="54"/>
      <c r="N8" s="3"/>
      <c r="O8" s="9"/>
      <c r="P8" s="9"/>
    </row>
    <row r="9" spans="1:16" ht="14.45" x14ac:dyDescent="0.3">
      <c r="B9" s="59"/>
      <c r="C9" s="7"/>
      <c r="D9" s="3"/>
      <c r="E9" s="3"/>
      <c r="F9" s="12"/>
      <c r="G9" s="10"/>
      <c r="H9" s="10"/>
      <c r="I9" s="10"/>
      <c r="J9" s="3"/>
      <c r="K9" s="10"/>
      <c r="L9" s="10"/>
      <c r="M9" s="50"/>
      <c r="N9" s="3"/>
      <c r="O9" s="9"/>
      <c r="P9" s="9"/>
    </row>
    <row r="10" spans="1:16" ht="14.45" x14ac:dyDescent="0.3">
      <c r="B10" s="3"/>
      <c r="C10" s="7"/>
      <c r="D10" s="3"/>
      <c r="E10" s="3"/>
      <c r="F10" s="12"/>
      <c r="G10" s="10">
        <f>SUM(G7:G9)</f>
        <v>22543.089999999997</v>
      </c>
      <c r="H10" s="174">
        <f>SUM(H7:H9)</f>
        <v>-8.999999999650754E-2</v>
      </c>
      <c r="I10" s="10">
        <f>SUM(I7:I9)</f>
        <v>22543</v>
      </c>
      <c r="J10" s="3"/>
      <c r="K10" s="10">
        <f>SUM(K7:K9)</f>
        <v>22543</v>
      </c>
      <c r="L10" s="10">
        <f>SUM(L7:L9)</f>
        <v>0</v>
      </c>
      <c r="M10" s="50">
        <f>SUM(M7:M9)</f>
        <v>22543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27"/>
      <c r="C13" s="27"/>
      <c r="D13" s="27"/>
      <c r="E13" s="27"/>
      <c r="F13" s="27"/>
      <c r="G13" s="27"/>
      <c r="H13" s="27"/>
      <c r="I13" s="27"/>
      <c r="J13" s="59"/>
      <c r="K13" s="27"/>
      <c r="L13" s="27"/>
      <c r="M13" s="57"/>
      <c r="N13" s="3"/>
      <c r="O13" s="9"/>
      <c r="P13" s="9"/>
    </row>
    <row r="14" spans="1:16" ht="14.4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9"/>
      <c r="P14" s="9"/>
    </row>
    <row r="15" spans="1:16" ht="14.45" x14ac:dyDescent="0.3">
      <c r="B15" s="37" t="s">
        <v>71</v>
      </c>
      <c r="C15" s="86" t="s">
        <v>2</v>
      </c>
      <c r="D15" s="86" t="s">
        <v>65</v>
      </c>
      <c r="E15" s="86" t="s">
        <v>66</v>
      </c>
      <c r="F15" s="86" t="s">
        <v>67</v>
      </c>
      <c r="G15" s="86" t="s">
        <v>68</v>
      </c>
      <c r="H15" s="90"/>
      <c r="I15" s="90"/>
      <c r="J15" s="90"/>
      <c r="K15" s="115" t="s">
        <v>183</v>
      </c>
      <c r="L15" s="103"/>
      <c r="M15" s="103"/>
      <c r="N15" s="104"/>
      <c r="O15" s="9"/>
      <c r="P15" s="9"/>
    </row>
    <row r="16" spans="1:16" ht="14.45" x14ac:dyDescent="0.3">
      <c r="B16" s="32"/>
      <c r="C16" s="33"/>
      <c r="D16" s="76"/>
      <c r="E16" s="35"/>
      <c r="F16" s="36"/>
      <c r="G16" s="40"/>
      <c r="H16" s="38"/>
      <c r="I16" s="38"/>
      <c r="J16" s="38"/>
      <c r="K16" s="104" t="s">
        <v>181</v>
      </c>
      <c r="L16" s="104"/>
      <c r="M16" s="104"/>
      <c r="N16" s="104"/>
      <c r="O16" s="9"/>
      <c r="P16" s="9"/>
    </row>
    <row r="17" spans="2:16" ht="15" customHeight="1" x14ac:dyDescent="0.3">
      <c r="B17" s="32"/>
      <c r="C17" s="33"/>
      <c r="D17" s="76"/>
      <c r="E17" s="35"/>
      <c r="F17" s="36"/>
      <c r="G17" s="40"/>
      <c r="H17" s="38"/>
      <c r="I17" s="38"/>
      <c r="J17" s="38"/>
      <c r="K17" s="9"/>
      <c r="P17" s="9"/>
    </row>
    <row r="18" spans="2:16" ht="14.45" x14ac:dyDescent="0.3">
      <c r="B18" s="71"/>
      <c r="C18" s="75"/>
      <c r="D18" s="76"/>
      <c r="E18" s="73"/>
      <c r="F18" s="74"/>
      <c r="G18" s="69"/>
      <c r="H18" s="77"/>
      <c r="I18" s="41"/>
      <c r="J18" s="41"/>
      <c r="P18" s="9"/>
    </row>
    <row r="19" spans="2:16" ht="14.45" x14ac:dyDescent="0.3">
      <c r="B19" s="3"/>
      <c r="C19" s="75"/>
      <c r="D19" s="76"/>
      <c r="E19" s="66"/>
      <c r="F19" s="68"/>
      <c r="G19" s="63"/>
      <c r="H19" s="77"/>
      <c r="I19" s="3"/>
      <c r="J19" s="3"/>
      <c r="K19" s="9"/>
      <c r="L19" s="9"/>
      <c r="M19" s="9"/>
      <c r="P19" s="9"/>
    </row>
    <row r="20" spans="2:16" ht="14.45" x14ac:dyDescent="0.3">
      <c r="B20" s="3"/>
      <c r="C20" s="75"/>
      <c r="D20" s="76"/>
      <c r="E20" s="66"/>
      <c r="F20" s="68"/>
      <c r="G20" s="63"/>
      <c r="H20" s="78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70"/>
      <c r="H21" s="72"/>
      <c r="I21" s="72"/>
      <c r="J21" s="41"/>
      <c r="P21" s="9"/>
    </row>
    <row r="22" spans="2:16" ht="15" customHeight="1" x14ac:dyDescent="0.3">
      <c r="B22" s="71"/>
      <c r="C22" s="75"/>
      <c r="D22" s="76"/>
      <c r="E22" s="73"/>
      <c r="F22" s="68"/>
      <c r="G22" s="63"/>
      <c r="H22" s="79"/>
      <c r="I22" s="79"/>
      <c r="J22" s="41"/>
      <c r="P22" s="9"/>
    </row>
    <row r="23" spans="2:16" ht="14.45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ht="16.5" customHeight="1" x14ac:dyDescent="0.25">
      <c r="B25" s="71"/>
      <c r="C25" s="75"/>
      <c r="D25" s="76"/>
      <c r="E25" s="73"/>
      <c r="F25" s="74"/>
      <c r="G25" s="40"/>
      <c r="H25" s="79"/>
      <c r="I25" s="79"/>
      <c r="J25" s="41"/>
      <c r="P25" s="9"/>
    </row>
    <row r="26" spans="2:16" ht="15" hidden="1" customHeight="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ht="15" customHeight="1" x14ac:dyDescent="0.25">
      <c r="B27" s="9"/>
      <c r="C27" s="9"/>
      <c r="D27" s="43"/>
      <c r="E27" s="8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3"/>
      <c r="J28" s="3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ht="15" customHeight="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">
    <mergeCell ref="K1:M1"/>
    <mergeCell ref="K2:M2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F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161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162</v>
      </c>
      <c r="C3" s="15"/>
      <c r="D3" s="15"/>
      <c r="E3" s="3"/>
      <c r="F3" s="3"/>
      <c r="G3" s="3"/>
      <c r="H3" s="3"/>
      <c r="I3" s="3"/>
      <c r="J3" s="59"/>
      <c r="K3" s="90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6" t="s">
        <v>1</v>
      </c>
      <c r="C6" s="86" t="s">
        <v>2</v>
      </c>
      <c r="D6" s="86" t="s">
        <v>3</v>
      </c>
      <c r="E6" s="86" t="s">
        <v>4</v>
      </c>
      <c r="F6" s="86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90">
        <v>84.027000000000001</v>
      </c>
      <c r="D7" s="3" t="s">
        <v>133</v>
      </c>
      <c r="E7" s="3" t="s">
        <v>7</v>
      </c>
      <c r="F7" s="3" t="s">
        <v>132</v>
      </c>
      <c r="G7" s="82">
        <f>6440.88-3220.44</f>
        <v>3220.44</v>
      </c>
      <c r="H7" s="171">
        <f>K7-G7</f>
        <v>-0.44000000000005457</v>
      </c>
      <c r="I7" s="48">
        <f>G7+H7</f>
        <v>3220</v>
      </c>
      <c r="J7" s="81"/>
      <c r="K7" s="83">
        <v>3220</v>
      </c>
      <c r="L7" s="48"/>
      <c r="M7" s="50">
        <f>K7+L7</f>
        <v>3220</v>
      </c>
      <c r="N7" s="3"/>
      <c r="O7" s="9"/>
      <c r="P7" s="9"/>
    </row>
    <row r="8" spans="1:16" ht="14.45" x14ac:dyDescent="0.3">
      <c r="B8" s="3"/>
      <c r="C8" s="90"/>
      <c r="D8" s="3"/>
      <c r="E8" s="3"/>
      <c r="F8" s="3"/>
      <c r="G8" s="53"/>
      <c r="H8" s="53"/>
      <c r="I8" s="53">
        <f>G8+H8</f>
        <v>0</v>
      </c>
      <c r="J8" s="59"/>
      <c r="K8" s="53"/>
      <c r="L8" s="53"/>
      <c r="M8" s="54"/>
      <c r="N8" s="3"/>
      <c r="O8" s="9"/>
      <c r="P8" s="9"/>
    </row>
    <row r="9" spans="1:16" ht="14.45" x14ac:dyDescent="0.3">
      <c r="B9" s="59"/>
      <c r="C9" s="7"/>
      <c r="D9" s="3"/>
      <c r="E9" s="3"/>
      <c r="F9" s="12"/>
      <c r="G9" s="10"/>
      <c r="H9" s="10"/>
      <c r="I9" s="10"/>
      <c r="J9" s="3"/>
      <c r="K9" s="10"/>
      <c r="L9" s="10"/>
      <c r="M9" s="50"/>
      <c r="N9" s="3"/>
      <c r="O9" s="9"/>
      <c r="P9" s="9"/>
    </row>
    <row r="10" spans="1:16" ht="14.45" x14ac:dyDescent="0.3">
      <c r="B10" s="3"/>
      <c r="C10" s="7"/>
      <c r="D10" s="3"/>
      <c r="E10" s="3"/>
      <c r="F10" s="12"/>
      <c r="G10" s="10">
        <f>SUM(G7:G9)</f>
        <v>3220.44</v>
      </c>
      <c r="H10" s="174">
        <f>SUM(H7:H9)</f>
        <v>-0.44000000000005457</v>
      </c>
      <c r="I10" s="10">
        <f>SUM(I7:I9)</f>
        <v>3220</v>
      </c>
      <c r="J10" s="3"/>
      <c r="K10" s="10">
        <f>SUM(K7:K9)</f>
        <v>3220</v>
      </c>
      <c r="L10" s="10">
        <f>SUM(L7:L9)</f>
        <v>0</v>
      </c>
      <c r="M10" s="50">
        <f>SUM(M7:M9)</f>
        <v>3220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27"/>
      <c r="C13" s="27"/>
      <c r="D13" s="27"/>
      <c r="E13" s="27"/>
      <c r="F13" s="27"/>
      <c r="G13" s="27"/>
      <c r="H13" s="27"/>
      <c r="I13" s="27"/>
      <c r="J13" s="59"/>
      <c r="K13" s="27"/>
      <c r="L13" s="27"/>
      <c r="M13" s="57"/>
      <c r="N13" s="3"/>
      <c r="O13" s="9"/>
      <c r="P13" s="9"/>
    </row>
    <row r="14" spans="1:16" ht="14.45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9"/>
      <c r="P14" s="9"/>
    </row>
    <row r="15" spans="1:16" ht="14.45" x14ac:dyDescent="0.3">
      <c r="B15" s="37" t="s">
        <v>71</v>
      </c>
      <c r="C15" s="86" t="s">
        <v>2</v>
      </c>
      <c r="D15" s="86" t="s">
        <v>65</v>
      </c>
      <c r="E15" s="86" t="s">
        <v>66</v>
      </c>
      <c r="F15" s="86" t="s">
        <v>67</v>
      </c>
      <c r="G15" s="86" t="s">
        <v>68</v>
      </c>
      <c r="H15" s="90"/>
      <c r="I15" s="90"/>
      <c r="J15" s="90"/>
      <c r="K15" s="115" t="s">
        <v>183</v>
      </c>
      <c r="L15" s="103"/>
      <c r="M15" s="103"/>
      <c r="N15" s="104"/>
      <c r="O15" s="9"/>
      <c r="P15" s="9"/>
    </row>
    <row r="16" spans="1:16" ht="14.45" x14ac:dyDescent="0.3">
      <c r="B16" s="32"/>
      <c r="C16" s="33"/>
      <c r="D16" s="76"/>
      <c r="E16" s="35"/>
      <c r="F16" s="36"/>
      <c r="G16" s="40"/>
      <c r="H16" s="38"/>
      <c r="I16" s="38"/>
      <c r="J16" s="38"/>
      <c r="K16" s="104" t="s">
        <v>181</v>
      </c>
      <c r="L16" s="104"/>
      <c r="M16" s="104"/>
      <c r="N16" s="104"/>
      <c r="O16" s="9"/>
      <c r="P16" s="9"/>
    </row>
    <row r="17" spans="2:16" ht="15" customHeight="1" x14ac:dyDescent="0.3">
      <c r="B17" s="32"/>
      <c r="C17" s="33"/>
      <c r="D17" s="76"/>
      <c r="E17" s="35"/>
      <c r="F17" s="36"/>
      <c r="G17" s="40"/>
      <c r="H17" s="38"/>
      <c r="I17" s="38"/>
      <c r="J17" s="38"/>
      <c r="K17" s="9"/>
      <c r="P17" s="9"/>
    </row>
    <row r="18" spans="2:16" ht="14.45" x14ac:dyDescent="0.3">
      <c r="B18" s="71"/>
      <c r="C18" s="75"/>
      <c r="D18" s="76"/>
      <c r="E18" s="73"/>
      <c r="F18" s="74"/>
      <c r="G18" s="69"/>
      <c r="H18" s="77"/>
      <c r="I18" s="41"/>
      <c r="J18" s="41"/>
      <c r="P18" s="9"/>
    </row>
    <row r="19" spans="2:16" ht="14.45" x14ac:dyDescent="0.3">
      <c r="B19" s="3"/>
      <c r="C19" s="75"/>
      <c r="D19" s="76"/>
      <c r="E19" s="66"/>
      <c r="F19" s="68"/>
      <c r="G19" s="63"/>
      <c r="H19" s="77"/>
      <c r="I19" s="3"/>
      <c r="J19" s="3"/>
      <c r="K19" s="9"/>
      <c r="L19" s="9"/>
      <c r="M19" s="9"/>
      <c r="P19" s="9"/>
    </row>
    <row r="20" spans="2:16" ht="14.45" x14ac:dyDescent="0.3">
      <c r="B20" s="3"/>
      <c r="C20" s="75"/>
      <c r="D20" s="76"/>
      <c r="E20" s="66"/>
      <c r="F20" s="68"/>
      <c r="G20" s="63"/>
      <c r="H20" s="78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70"/>
      <c r="H21" s="72"/>
      <c r="I21" s="72"/>
      <c r="J21" s="41"/>
      <c r="P21" s="9"/>
    </row>
    <row r="22" spans="2:16" ht="15" customHeight="1" x14ac:dyDescent="0.3">
      <c r="B22" s="71"/>
      <c r="C22" s="75"/>
      <c r="D22" s="76"/>
      <c r="E22" s="73"/>
      <c r="F22" s="68"/>
      <c r="G22" s="63"/>
      <c r="H22" s="79"/>
      <c r="I22" s="79"/>
      <c r="J22" s="41"/>
      <c r="P22" s="9"/>
    </row>
    <row r="23" spans="2:16" ht="14.45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ht="16.5" customHeight="1" x14ac:dyDescent="0.25">
      <c r="B25" s="71"/>
      <c r="C25" s="75"/>
      <c r="D25" s="76"/>
      <c r="E25" s="73"/>
      <c r="F25" s="74"/>
      <c r="G25" s="40"/>
      <c r="H25" s="79"/>
      <c r="I25" s="79"/>
      <c r="J25" s="41"/>
      <c r="P25" s="9"/>
    </row>
    <row r="26" spans="2:16" ht="15" hidden="1" customHeight="1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ht="15" customHeight="1" x14ac:dyDescent="0.25">
      <c r="B27" s="9"/>
      <c r="C27" s="9"/>
      <c r="D27" s="43"/>
      <c r="E27" s="8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3"/>
      <c r="J28" s="3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ht="15" customHeight="1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">
    <mergeCell ref="K1:M1"/>
    <mergeCell ref="K2:M2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147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148</v>
      </c>
      <c r="C3" s="15"/>
      <c r="D3" s="15"/>
      <c r="E3" s="3"/>
      <c r="F3" s="3"/>
      <c r="G3" s="3"/>
      <c r="H3" s="3"/>
      <c r="I3" s="3"/>
      <c r="J3" s="59"/>
      <c r="K3" s="90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6" t="s">
        <v>1</v>
      </c>
      <c r="C6" s="86" t="s">
        <v>2</v>
      </c>
      <c r="D6" s="86" t="s">
        <v>3</v>
      </c>
      <c r="E6" s="86" t="s">
        <v>4</v>
      </c>
      <c r="F6" s="86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90">
        <v>84.027000000000001</v>
      </c>
      <c r="D7" s="3" t="s">
        <v>133</v>
      </c>
      <c r="E7" s="3" t="s">
        <v>7</v>
      </c>
      <c r="F7" s="3" t="s">
        <v>132</v>
      </c>
      <c r="G7" s="82">
        <f>17175.68-1073.48</f>
        <v>16102.2</v>
      </c>
      <c r="H7" s="171">
        <f>-0.02</f>
        <v>-0.02</v>
      </c>
      <c r="I7" s="48">
        <f>G7+H7</f>
        <v>16102.18</v>
      </c>
      <c r="J7" s="81"/>
      <c r="K7" s="83">
        <f>15267.65+834.35</f>
        <v>16102</v>
      </c>
      <c r="L7" s="48"/>
      <c r="M7" s="165">
        <f>K7+L7</f>
        <v>16102</v>
      </c>
      <c r="N7" s="3"/>
      <c r="O7" s="9"/>
      <c r="P7" s="9"/>
    </row>
    <row r="8" spans="1:16" ht="14.45" x14ac:dyDescent="0.3">
      <c r="B8" s="3" t="s">
        <v>43</v>
      </c>
      <c r="C8" s="7">
        <v>84.281999999999996</v>
      </c>
      <c r="D8" s="3" t="s">
        <v>169</v>
      </c>
      <c r="E8" s="3" t="s">
        <v>7</v>
      </c>
      <c r="F8" s="3" t="s">
        <v>170</v>
      </c>
      <c r="G8" s="82">
        <v>175000</v>
      </c>
      <c r="H8" s="82">
        <v>50000</v>
      </c>
      <c r="I8" s="48">
        <f>G8+H8</f>
        <v>225000</v>
      </c>
      <c r="J8" s="81"/>
      <c r="K8" s="83">
        <f>165198.78+59801.22</f>
        <v>225000</v>
      </c>
      <c r="L8" s="48">
        <v>0</v>
      </c>
      <c r="M8" s="50">
        <f>K8+L8</f>
        <v>225000</v>
      </c>
      <c r="N8" s="3"/>
      <c r="O8" s="9"/>
      <c r="P8" s="9"/>
    </row>
    <row r="9" spans="1:16" ht="14.45" x14ac:dyDescent="0.3">
      <c r="B9" s="3"/>
      <c r="C9" s="90"/>
      <c r="D9" s="3"/>
      <c r="E9" s="3"/>
      <c r="F9" s="3"/>
      <c r="G9" s="53"/>
      <c r="H9" s="53"/>
      <c r="I9" s="53"/>
      <c r="J9" s="59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191102.2</v>
      </c>
      <c r="H11" s="163">
        <f>SUM(H7:H10)</f>
        <v>49999.98</v>
      </c>
      <c r="I11" s="163">
        <f>SUM(I7:I10)</f>
        <v>241102.18</v>
      </c>
      <c r="J11" s="3"/>
      <c r="K11" s="163">
        <f t="shared" ref="K11:M11" si="0">SUM(K7:K10)</f>
        <v>241102</v>
      </c>
      <c r="L11" s="163">
        <f t="shared" si="0"/>
        <v>0</v>
      </c>
      <c r="M11" s="165">
        <f t="shared" si="0"/>
        <v>241102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6" t="s">
        <v>2</v>
      </c>
      <c r="D16" s="86" t="s">
        <v>65</v>
      </c>
      <c r="E16" s="86" t="s">
        <v>66</v>
      </c>
      <c r="F16" s="86" t="s">
        <v>67</v>
      </c>
      <c r="G16" s="86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76"/>
      <c r="E17" s="35"/>
      <c r="F17" s="36"/>
      <c r="G17" s="40"/>
      <c r="H17" s="38"/>
      <c r="I17" s="38"/>
      <c r="J17" s="38"/>
      <c r="K17" s="104" t="s">
        <v>181</v>
      </c>
      <c r="L17" s="104"/>
      <c r="M17" s="104"/>
      <c r="N17" s="104"/>
      <c r="O17" s="9"/>
      <c r="P17" s="9"/>
    </row>
    <row r="18" spans="2:16" ht="15" customHeight="1" x14ac:dyDescent="0.3">
      <c r="B18" s="32"/>
      <c r="C18" s="33"/>
      <c r="D18" s="76"/>
      <c r="E18" s="35"/>
      <c r="F18" s="36"/>
      <c r="G18" s="40"/>
      <c r="H18" s="38"/>
      <c r="I18" s="38"/>
      <c r="J18" s="38"/>
      <c r="K18" s="9"/>
      <c r="P18" s="9"/>
    </row>
    <row r="19" spans="2:16" ht="14.45" x14ac:dyDescent="0.3">
      <c r="B19" s="71"/>
      <c r="C19" s="75"/>
      <c r="D19" s="76"/>
      <c r="E19" s="73"/>
      <c r="F19" s="74"/>
      <c r="G19" s="69"/>
      <c r="H19" s="77"/>
      <c r="I19" s="41"/>
      <c r="J19" s="41"/>
      <c r="P19" s="9"/>
    </row>
    <row r="20" spans="2:16" ht="14.45" x14ac:dyDescent="0.3">
      <c r="B20" s="3"/>
      <c r="C20" s="75"/>
      <c r="D20" s="76"/>
      <c r="E20" s="66"/>
      <c r="F20" s="68"/>
      <c r="G20" s="63"/>
      <c r="H20" s="77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63"/>
      <c r="H21" s="78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70"/>
      <c r="H22" s="72"/>
      <c r="I22" s="72"/>
      <c r="J22" s="41"/>
      <c r="P22" s="9"/>
    </row>
    <row r="23" spans="2:16" ht="15" customHeight="1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ht="16.5" customHeight="1" x14ac:dyDescent="0.25">
      <c r="B26" s="71"/>
      <c r="C26" s="75"/>
      <c r="D26" s="76"/>
      <c r="E26" s="73"/>
      <c r="F26" s="74"/>
      <c r="G26" s="40"/>
      <c r="H26" s="79"/>
      <c r="I26" s="79"/>
      <c r="J26" s="41"/>
      <c r="P26" s="9"/>
    </row>
    <row r="27" spans="2:16" ht="15" hidden="1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ht="15" customHeight="1" x14ac:dyDescent="0.25">
      <c r="B28" s="9"/>
      <c r="C28" s="9"/>
      <c r="D28" s="43"/>
      <c r="E28" s="8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ht="1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1:M1"/>
    <mergeCell ref="K2:M2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F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163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164</v>
      </c>
      <c r="C3" s="15"/>
      <c r="D3" s="15"/>
      <c r="E3" s="3"/>
      <c r="F3" s="3"/>
      <c r="G3" s="3"/>
      <c r="H3" s="3"/>
      <c r="I3" s="3"/>
      <c r="J3" s="59"/>
      <c r="K3" s="90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6" t="s">
        <v>1</v>
      </c>
      <c r="C6" s="86" t="s">
        <v>2</v>
      </c>
      <c r="D6" s="86" t="s">
        <v>3</v>
      </c>
      <c r="E6" s="86" t="s">
        <v>4</v>
      </c>
      <c r="F6" s="86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90">
        <v>84.027000000000001</v>
      </c>
      <c r="D7" s="3" t="s">
        <v>133</v>
      </c>
      <c r="E7" s="3" t="s">
        <v>7</v>
      </c>
      <c r="F7" s="3" t="s">
        <v>132</v>
      </c>
      <c r="G7" s="82">
        <f>47233.13-1073.48+0.35</f>
        <v>46159.999999999993</v>
      </c>
      <c r="H7" s="16"/>
      <c r="I7" s="48">
        <f>G7+H7</f>
        <v>46159.999999999993</v>
      </c>
      <c r="J7" s="16"/>
      <c r="K7" s="177">
        <f>46160</f>
        <v>46160</v>
      </c>
      <c r="L7" s="117"/>
      <c r="M7" s="165">
        <f>K7+L7</f>
        <v>46160</v>
      </c>
      <c r="N7" s="3"/>
      <c r="O7" s="9"/>
      <c r="P7" s="9"/>
    </row>
    <row r="8" spans="1:16" ht="14.45" x14ac:dyDescent="0.3">
      <c r="B8" s="3" t="s">
        <v>43</v>
      </c>
      <c r="C8" s="7">
        <v>84.281999999999996</v>
      </c>
      <c r="D8" s="3" t="s">
        <v>171</v>
      </c>
      <c r="E8" s="3" t="s">
        <v>7</v>
      </c>
      <c r="F8" s="3" t="s">
        <v>151</v>
      </c>
      <c r="G8" s="82">
        <v>175000</v>
      </c>
      <c r="H8" s="82">
        <v>0</v>
      </c>
      <c r="I8" s="48">
        <f>G8+H8</f>
        <v>175000</v>
      </c>
      <c r="J8" s="81"/>
      <c r="K8" s="83">
        <f>159396.73+10210</f>
        <v>169606.73</v>
      </c>
      <c r="L8" s="48"/>
      <c r="M8" s="50">
        <f>K8+L8</f>
        <v>169606.73</v>
      </c>
      <c r="N8" s="3"/>
      <c r="O8" s="9"/>
      <c r="P8" s="9"/>
    </row>
    <row r="9" spans="1:16" ht="14.45" x14ac:dyDescent="0.3">
      <c r="B9" s="3"/>
      <c r="C9" s="90"/>
      <c r="D9" s="3"/>
      <c r="E9" s="3"/>
      <c r="F9" s="3"/>
      <c r="G9" s="53"/>
      <c r="H9" s="53"/>
      <c r="I9" s="53"/>
      <c r="J9" s="59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221160</v>
      </c>
      <c r="H11" s="10">
        <f>SUM(H7:H10)</f>
        <v>0</v>
      </c>
      <c r="I11" s="10">
        <f>SUM(I7:I10)</f>
        <v>221160</v>
      </c>
      <c r="J11" s="3"/>
      <c r="K11" s="178">
        <f>SUM(K7:K10)</f>
        <v>215766.73</v>
      </c>
      <c r="L11" s="178">
        <f>SUM(L7:L10)</f>
        <v>0</v>
      </c>
      <c r="M11" s="182">
        <f>SUM(M7:M10)</f>
        <v>215766.73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6" t="s">
        <v>2</v>
      </c>
      <c r="D16" s="86" t="s">
        <v>65</v>
      </c>
      <c r="E16" s="86" t="s">
        <v>66</v>
      </c>
      <c r="F16" s="86" t="s">
        <v>67</v>
      </c>
      <c r="G16" s="86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76"/>
      <c r="E17" s="35"/>
      <c r="F17" s="36"/>
      <c r="G17" s="40"/>
      <c r="H17" s="38"/>
      <c r="I17" s="38"/>
      <c r="J17" s="38"/>
      <c r="K17" s="104" t="s">
        <v>181</v>
      </c>
      <c r="L17" s="104"/>
      <c r="M17" s="104"/>
      <c r="N17" s="104"/>
      <c r="O17" s="9"/>
      <c r="P17" s="9"/>
    </row>
    <row r="18" spans="2:16" ht="15" customHeight="1" x14ac:dyDescent="0.3">
      <c r="B18" s="32"/>
      <c r="C18" s="33"/>
      <c r="D18" s="76"/>
      <c r="E18" s="35"/>
      <c r="F18" s="36"/>
      <c r="G18" s="40"/>
      <c r="H18" s="38"/>
      <c r="I18" s="38"/>
      <c r="J18" s="38"/>
      <c r="K18" s="9"/>
      <c r="P18" s="9"/>
    </row>
    <row r="19" spans="2:16" ht="14.45" x14ac:dyDescent="0.3">
      <c r="B19" s="71"/>
      <c r="C19" s="75"/>
      <c r="D19" s="76"/>
      <c r="E19" s="73"/>
      <c r="F19" s="74"/>
      <c r="G19" s="69"/>
      <c r="H19" s="77"/>
      <c r="I19" s="41"/>
      <c r="J19" s="41"/>
      <c r="P19" s="9"/>
    </row>
    <row r="20" spans="2:16" ht="14.45" x14ac:dyDescent="0.3">
      <c r="B20" s="3"/>
      <c r="C20" s="75"/>
      <c r="D20" s="76"/>
      <c r="E20" s="66"/>
      <c r="F20" s="68"/>
      <c r="G20" s="63"/>
      <c r="H20" s="77"/>
      <c r="I20" s="3"/>
      <c r="J20" s="3"/>
      <c r="K20" s="9"/>
      <c r="L20" s="9"/>
      <c r="M20" s="9"/>
      <c r="P20" s="9"/>
    </row>
    <row r="21" spans="2:16" ht="14.45" x14ac:dyDescent="0.3">
      <c r="B21" s="3"/>
      <c r="C21" s="75"/>
      <c r="D21" s="76"/>
      <c r="E21" s="66"/>
      <c r="F21" s="68"/>
      <c r="G21" s="63"/>
      <c r="H21" s="78"/>
      <c r="I21" s="3"/>
      <c r="J21" s="3"/>
      <c r="K21" s="9"/>
      <c r="L21" s="9"/>
      <c r="M21" s="9"/>
      <c r="P21" s="9"/>
    </row>
    <row r="22" spans="2:16" ht="14.45" x14ac:dyDescent="0.3">
      <c r="B22" s="3"/>
      <c r="C22" s="75"/>
      <c r="D22" s="76"/>
      <c r="E22" s="66"/>
      <c r="F22" s="68"/>
      <c r="G22" s="70"/>
      <c r="H22" s="72"/>
      <c r="I22" s="72"/>
      <c r="J22" s="41"/>
      <c r="P22" s="9"/>
    </row>
    <row r="23" spans="2:16" ht="15" customHeight="1" x14ac:dyDescent="0.3">
      <c r="B23" s="71"/>
      <c r="C23" s="75"/>
      <c r="D23" s="76"/>
      <c r="E23" s="73"/>
      <c r="F23" s="68"/>
      <c r="G23" s="63"/>
      <c r="H23" s="79"/>
      <c r="I23" s="79"/>
      <c r="J23" s="41"/>
      <c r="P23" s="9"/>
    </row>
    <row r="24" spans="2:16" x14ac:dyDescent="0.25">
      <c r="B24" s="71"/>
      <c r="C24" s="75"/>
      <c r="D24" s="76"/>
      <c r="E24" s="73"/>
      <c r="F24" s="68"/>
      <c r="G24" s="63"/>
      <c r="H24" s="79"/>
      <c r="I24" s="79"/>
      <c r="J24" s="41"/>
      <c r="P24" s="9"/>
    </row>
    <row r="25" spans="2:16" x14ac:dyDescent="0.25">
      <c r="B25" s="71"/>
      <c r="C25" s="75"/>
      <c r="D25" s="76"/>
      <c r="E25" s="73"/>
      <c r="F25" s="68"/>
      <c r="G25" s="63"/>
      <c r="H25" s="79"/>
      <c r="I25" s="79"/>
      <c r="J25" s="41"/>
      <c r="P25" s="9"/>
    </row>
    <row r="26" spans="2:16" ht="16.5" customHeight="1" x14ac:dyDescent="0.25">
      <c r="B26" s="71"/>
      <c r="C26" s="75"/>
      <c r="D26" s="76"/>
      <c r="E26" s="73"/>
      <c r="F26" s="74"/>
      <c r="G26" s="40"/>
      <c r="H26" s="79"/>
      <c r="I26" s="79"/>
      <c r="J26" s="41"/>
      <c r="P26" s="9"/>
    </row>
    <row r="27" spans="2:16" ht="15" hidden="1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ht="15" customHeight="1" x14ac:dyDescent="0.25">
      <c r="B28" s="9"/>
      <c r="C28" s="9"/>
      <c r="D28" s="43"/>
      <c r="E28" s="8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3"/>
      <c r="J29" s="3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3"/>
      <c r="J30" s="3"/>
      <c r="K30" s="9"/>
      <c r="L30" s="9"/>
      <c r="M30" s="9"/>
      <c r="N30" s="9"/>
      <c r="O30" s="9"/>
      <c r="P30" s="9"/>
    </row>
    <row r="31" spans="2:16" ht="15" customHeight="1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1:M1"/>
    <mergeCell ref="K2:M2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opLeftCell="B1" zoomScaleNormal="100" workbookViewId="0">
      <selection activeCell="B14" sqref="B14"/>
    </sheetView>
  </sheetViews>
  <sheetFormatPr defaultRowHeight="15" x14ac:dyDescent="0.25"/>
  <cols>
    <col min="1" max="1" width="9.140625" hidden="1" customWidth="1"/>
    <col min="2" max="2" width="60.42578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84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123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82">
        <v>180845.99</v>
      </c>
      <c r="H7" s="82">
        <v>0</v>
      </c>
      <c r="I7" s="48">
        <f>G7+H7</f>
        <v>180845.99</v>
      </c>
      <c r="J7" s="81"/>
      <c r="K7" s="83">
        <f>47641.78+13067.93+50876.63-13067.93+71599.76+10118.09+609.7</f>
        <v>180845.96</v>
      </c>
      <c r="L7" s="48"/>
      <c r="M7" s="50">
        <f>K7+L7</f>
        <v>180845.96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82">
        <f>268370.07-2146.96</f>
        <v>266223.11</v>
      </c>
      <c r="H8" s="82">
        <v>0</v>
      </c>
      <c r="I8" s="48">
        <f>G8+H8</f>
        <v>266223.11</v>
      </c>
      <c r="J8" s="81"/>
      <c r="K8" s="83">
        <f>200350.02+65872.98-65872.98+65872.98</f>
        <v>266223</v>
      </c>
      <c r="L8" s="48">
        <v>0</v>
      </c>
      <c r="M8" s="50">
        <f>K8+L8</f>
        <v>266223</v>
      </c>
      <c r="N8" s="3"/>
      <c r="O8" s="9"/>
      <c r="P8" s="9"/>
    </row>
    <row r="9" spans="1:16" ht="14.45" x14ac:dyDescent="0.3">
      <c r="B9" s="3" t="s">
        <v>141</v>
      </c>
      <c r="C9" s="7">
        <v>84.01</v>
      </c>
      <c r="D9" s="3" t="s">
        <v>142</v>
      </c>
      <c r="E9" s="3" t="s">
        <v>7</v>
      </c>
      <c r="F9" s="3" t="s">
        <v>143</v>
      </c>
      <c r="G9" s="82">
        <v>11698.16</v>
      </c>
      <c r="H9" s="171">
        <f>K9-G9</f>
        <v>-289.23999999999978</v>
      </c>
      <c r="I9" s="48">
        <f>G9+H9</f>
        <v>11408.92</v>
      </c>
      <c r="J9" s="81"/>
      <c r="K9" s="83">
        <f>10277.24+1131.68</f>
        <v>11408.92</v>
      </c>
      <c r="L9" s="48"/>
      <c r="M9" s="50">
        <f>K9+L9</f>
        <v>11408.92</v>
      </c>
      <c r="N9" s="3"/>
      <c r="O9" s="9"/>
      <c r="P9" s="9"/>
    </row>
    <row r="10" spans="1:16" ht="27.6" x14ac:dyDescent="0.3">
      <c r="B10" s="88" t="s">
        <v>136</v>
      </c>
      <c r="C10" s="89">
        <v>84.394999999999996</v>
      </c>
      <c r="D10" s="89" t="s">
        <v>137</v>
      </c>
      <c r="E10" s="90" t="s">
        <v>7</v>
      </c>
      <c r="F10" s="90" t="s">
        <v>138</v>
      </c>
      <c r="G10" s="82">
        <v>414.45</v>
      </c>
      <c r="H10" s="82"/>
      <c r="I10" s="48">
        <f>G10+H10</f>
        <v>414.45</v>
      </c>
      <c r="J10" s="81"/>
      <c r="K10" s="83">
        <v>414.45</v>
      </c>
      <c r="L10" s="48"/>
      <c r="M10" s="50">
        <f>K10+L10</f>
        <v>414.45</v>
      </c>
      <c r="N10" s="3"/>
      <c r="O10" s="9"/>
      <c r="P10" s="9"/>
    </row>
    <row r="11" spans="1:16" ht="14.45" x14ac:dyDescent="0.3">
      <c r="B11" s="3" t="s">
        <v>40</v>
      </c>
      <c r="C11" s="7">
        <v>84.048000000000002</v>
      </c>
      <c r="D11" s="3" t="s">
        <v>140</v>
      </c>
      <c r="E11" s="3" t="s">
        <v>7</v>
      </c>
      <c r="F11" s="3" t="s">
        <v>132</v>
      </c>
      <c r="G11" s="82">
        <v>9519.9500000000007</v>
      </c>
      <c r="H11" s="82">
        <v>0</v>
      </c>
      <c r="I11" s="48">
        <f>G11+H11</f>
        <v>9519.9500000000007</v>
      </c>
      <c r="J11" s="81"/>
      <c r="K11" s="83">
        <v>2513</v>
      </c>
      <c r="L11" s="48">
        <f>4504.55+622.5+1879.9</f>
        <v>7006.9500000000007</v>
      </c>
      <c r="M11" s="50">
        <f>K11+L11</f>
        <v>9519.9500000000007</v>
      </c>
      <c r="N11" s="3"/>
      <c r="O11" s="9"/>
      <c r="P11" s="9"/>
    </row>
    <row r="12" spans="1:16" ht="14.45" x14ac:dyDescent="0.3">
      <c r="B12" s="3"/>
      <c r="C12" s="65"/>
      <c r="D12" s="3"/>
      <c r="E12" s="3"/>
      <c r="F12" s="3"/>
      <c r="G12" s="53"/>
      <c r="H12" s="53"/>
      <c r="I12" s="53"/>
      <c r="J12" s="59"/>
      <c r="K12" s="53"/>
      <c r="L12" s="53"/>
      <c r="M12" s="54"/>
      <c r="N12" s="3"/>
      <c r="O12" s="9"/>
      <c r="P12" s="9"/>
    </row>
    <row r="13" spans="1:16" ht="14.45" x14ac:dyDescent="0.3">
      <c r="B13" s="59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>
        <f>SUM(G7:G13)</f>
        <v>468701.66</v>
      </c>
      <c r="H14" s="10">
        <f>SUM(H7:H13)</f>
        <v>-289.23999999999978</v>
      </c>
      <c r="I14" s="10">
        <f>SUM(I7:I13)</f>
        <v>468412.42</v>
      </c>
      <c r="J14" s="59"/>
      <c r="K14" s="10">
        <f>SUM(K7:K13)</f>
        <v>461405.32999999996</v>
      </c>
      <c r="L14" s="10">
        <f>SUM(L7:L13)</f>
        <v>7006.9500000000007</v>
      </c>
      <c r="M14" s="50">
        <f>SUM(M7:M13)</f>
        <v>468412.27999999997</v>
      </c>
      <c r="N14" s="3"/>
      <c r="O14" s="9"/>
      <c r="P14" s="9"/>
    </row>
    <row r="15" spans="1:16" ht="14.45" x14ac:dyDescent="0.3">
      <c r="B15" s="3"/>
      <c r="C15" s="7"/>
      <c r="D15" s="3"/>
      <c r="E15" s="3"/>
      <c r="F15" s="12"/>
      <c r="G15" s="10"/>
      <c r="H15" s="10"/>
      <c r="I15" s="10"/>
      <c r="J15" s="3"/>
      <c r="K15" s="10"/>
      <c r="L15" s="10"/>
      <c r="M15" s="50"/>
      <c r="N15" s="3"/>
      <c r="O15" s="9"/>
      <c r="P15" s="9"/>
    </row>
    <row r="16" spans="1:16" ht="14.45" x14ac:dyDescent="0.3">
      <c r="B16" s="3"/>
      <c r="C16" s="7"/>
      <c r="D16" s="3"/>
      <c r="E16" s="3"/>
      <c r="F16" s="12"/>
      <c r="G16" s="10"/>
      <c r="H16" s="100"/>
      <c r="I16" s="100"/>
      <c r="J16" s="90"/>
      <c r="K16" s="115"/>
      <c r="L16" s="107"/>
      <c r="M16" s="108"/>
      <c r="N16" s="104"/>
      <c r="O16" s="9"/>
      <c r="P16" s="9"/>
    </row>
    <row r="17" spans="1:16" ht="14.45" x14ac:dyDescent="0.3">
      <c r="B17" s="27"/>
      <c r="C17" s="27"/>
      <c r="D17" s="27"/>
      <c r="E17" s="27"/>
      <c r="F17" s="27"/>
      <c r="G17" s="27"/>
      <c r="H17" s="27"/>
      <c r="I17" s="27"/>
      <c r="J17" s="59"/>
      <c r="K17" s="109"/>
      <c r="L17" s="109"/>
      <c r="M17" s="110"/>
      <c r="N17" s="104"/>
      <c r="O17" s="9"/>
      <c r="P17" s="9"/>
    </row>
    <row r="18" spans="1:16" ht="14.45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9"/>
      <c r="P18" s="9"/>
    </row>
    <row r="19" spans="1:16" ht="14.45" x14ac:dyDescent="0.3">
      <c r="B19" s="37" t="s">
        <v>71</v>
      </c>
      <c r="C19" s="8" t="s">
        <v>2</v>
      </c>
      <c r="D19" s="8" t="s">
        <v>65</v>
      </c>
      <c r="E19" s="8" t="s">
        <v>66</v>
      </c>
      <c r="F19" s="8" t="s">
        <v>67</v>
      </c>
      <c r="G19" s="223" t="s">
        <v>68</v>
      </c>
      <c r="H19" s="223"/>
      <c r="I19" s="59"/>
      <c r="J19" s="59"/>
      <c r="K19" s="115" t="s">
        <v>183</v>
      </c>
      <c r="L19" s="107"/>
      <c r="M19" s="111"/>
      <c r="N19" s="3"/>
      <c r="O19" s="9"/>
      <c r="P19" s="9"/>
    </row>
    <row r="20" spans="1:16" ht="15" customHeight="1" x14ac:dyDescent="0.25">
      <c r="A20" s="41"/>
      <c r="B20" s="211" t="s">
        <v>40</v>
      </c>
      <c r="C20" s="214">
        <v>84.048000000000002</v>
      </c>
      <c r="D20" s="205" t="s">
        <v>184</v>
      </c>
      <c r="E20" s="222">
        <v>4504.55</v>
      </c>
      <c r="F20" s="199" t="s">
        <v>185</v>
      </c>
      <c r="G20" s="224" t="s">
        <v>186</v>
      </c>
      <c r="H20" s="205"/>
      <c r="I20" s="38"/>
      <c r="J20" s="38"/>
      <c r="K20" s="112" t="s">
        <v>181</v>
      </c>
      <c r="L20" s="112"/>
      <c r="M20" s="112"/>
      <c r="N20" s="3"/>
      <c r="O20" s="9"/>
      <c r="P20" s="9"/>
    </row>
    <row r="21" spans="1:16" x14ac:dyDescent="0.25">
      <c r="A21" s="41"/>
      <c r="B21" s="212"/>
      <c r="C21" s="215"/>
      <c r="D21" s="206"/>
      <c r="E21" s="217"/>
      <c r="F21" s="200"/>
      <c r="G21" s="225"/>
      <c r="H21" s="206"/>
      <c r="I21" s="41"/>
      <c r="J21" s="41"/>
      <c r="P21" s="9"/>
    </row>
    <row r="22" spans="1:16" x14ac:dyDescent="0.25">
      <c r="A22" s="41"/>
      <c r="B22" s="212"/>
      <c r="C22" s="215"/>
      <c r="D22" s="206"/>
      <c r="E22" s="217"/>
      <c r="F22" s="200"/>
      <c r="G22" s="225"/>
      <c r="H22" s="206"/>
      <c r="I22" s="78"/>
      <c r="J22" s="3"/>
      <c r="K22" s="9"/>
      <c r="L22" s="9"/>
      <c r="M22" s="9"/>
      <c r="P22" s="9"/>
    </row>
    <row r="23" spans="1:16" ht="14.25" customHeight="1" x14ac:dyDescent="0.25">
      <c r="A23" s="41"/>
      <c r="B23" s="213"/>
      <c r="C23" s="216"/>
      <c r="D23" s="207"/>
      <c r="E23" s="218"/>
      <c r="F23" s="201"/>
      <c r="G23" s="225"/>
      <c r="H23" s="206"/>
      <c r="I23" s="78"/>
      <c r="J23" s="3"/>
      <c r="K23" s="9"/>
      <c r="L23" s="9"/>
      <c r="M23" s="9"/>
      <c r="P23" s="9"/>
    </row>
    <row r="24" spans="1:16" ht="2.25" hidden="1" customHeight="1" x14ac:dyDescent="0.25">
      <c r="A24" s="41"/>
      <c r="B24" s="142"/>
      <c r="C24" s="139"/>
      <c r="D24" s="136"/>
      <c r="E24" s="133"/>
      <c r="F24" s="130"/>
      <c r="G24" s="225"/>
      <c r="H24" s="206"/>
      <c r="I24" s="78"/>
      <c r="J24" s="3"/>
      <c r="K24" s="9"/>
      <c r="L24" s="9"/>
      <c r="M24" s="9"/>
      <c r="P24" s="9"/>
    </row>
    <row r="25" spans="1:16" ht="15" hidden="1" customHeight="1" x14ac:dyDescent="0.25">
      <c r="A25" s="58"/>
      <c r="B25" s="143"/>
      <c r="C25" s="140"/>
      <c r="D25" s="137"/>
      <c r="E25" s="134"/>
      <c r="F25" s="131"/>
      <c r="G25" s="226"/>
      <c r="H25" s="207"/>
      <c r="I25" s="41"/>
      <c r="J25" s="3"/>
      <c r="K25" s="9"/>
      <c r="L25" s="9"/>
      <c r="M25" s="9"/>
      <c r="P25" s="9"/>
    </row>
    <row r="26" spans="1:16" ht="19.5" customHeight="1" x14ac:dyDescent="0.25">
      <c r="B26" s="145" t="s">
        <v>40</v>
      </c>
      <c r="C26" s="141">
        <v>84.048000000000002</v>
      </c>
      <c r="D26" s="138" t="s">
        <v>190</v>
      </c>
      <c r="E26" s="135">
        <v>622.5</v>
      </c>
      <c r="F26" s="132" t="s">
        <v>197</v>
      </c>
      <c r="G26" s="227" t="s">
        <v>191</v>
      </c>
      <c r="H26" s="228"/>
      <c r="I26" s="41"/>
      <c r="J26" s="3"/>
      <c r="K26" s="9"/>
      <c r="L26" s="9"/>
      <c r="M26" s="9"/>
      <c r="P26" s="9"/>
    </row>
    <row r="27" spans="1:16" ht="15" customHeight="1" x14ac:dyDescent="0.25">
      <c r="B27" s="211" t="s">
        <v>40</v>
      </c>
      <c r="C27" s="215">
        <v>84.048000000000002</v>
      </c>
      <c r="D27" s="219" t="s">
        <v>192</v>
      </c>
      <c r="E27" s="217">
        <v>1879.9</v>
      </c>
      <c r="F27" s="199" t="s">
        <v>196</v>
      </c>
      <c r="G27" s="191" t="s">
        <v>193</v>
      </c>
      <c r="H27" s="192"/>
      <c r="M27" s="9"/>
      <c r="P27" s="9"/>
    </row>
    <row r="28" spans="1:16" x14ac:dyDescent="0.25">
      <c r="B28" s="212"/>
      <c r="C28" s="215"/>
      <c r="D28" s="220"/>
      <c r="E28" s="217"/>
      <c r="F28" s="200"/>
      <c r="G28" s="193"/>
      <c r="H28" s="194"/>
      <c r="M28" s="9"/>
      <c r="P28" s="9"/>
    </row>
    <row r="29" spans="1:16" x14ac:dyDescent="0.25">
      <c r="B29" s="213"/>
      <c r="C29" s="216"/>
      <c r="D29" s="221"/>
      <c r="E29" s="218"/>
      <c r="F29" s="201"/>
      <c r="G29" s="195"/>
      <c r="H29" s="196"/>
      <c r="I29" s="41"/>
      <c r="J29" s="3"/>
      <c r="K29" s="9"/>
      <c r="L29" s="9"/>
      <c r="M29" s="9"/>
      <c r="P29" s="9"/>
    </row>
    <row r="30" spans="1:16" x14ac:dyDescent="0.25">
      <c r="B30" s="142"/>
      <c r="C30" s="33"/>
      <c r="D30" s="76"/>
      <c r="E30" s="66"/>
      <c r="F30" s="68"/>
      <c r="G30" s="121"/>
      <c r="H30" s="122"/>
      <c r="I30" s="41"/>
      <c r="J30" s="3"/>
      <c r="K30" s="9"/>
      <c r="L30" s="9"/>
      <c r="M30" s="9"/>
      <c r="P30" s="9"/>
    </row>
    <row r="31" spans="1:16" ht="15" customHeight="1" thickBot="1" x14ac:dyDescent="0.3">
      <c r="B31" s="144"/>
      <c r="C31" s="128"/>
      <c r="D31" s="129" t="s">
        <v>42</v>
      </c>
      <c r="E31" s="84">
        <f>SUM(E20:E28)</f>
        <v>7006.9500000000007</v>
      </c>
      <c r="F31" s="125"/>
      <c r="G31" s="126"/>
      <c r="H31" s="127"/>
      <c r="I31" s="79"/>
      <c r="J31" s="41"/>
      <c r="P31" s="9"/>
    </row>
    <row r="32" spans="1:16" ht="15.75" thickTop="1" x14ac:dyDescent="0.25">
      <c r="B32" s="71"/>
      <c r="C32" s="75"/>
      <c r="D32" s="76"/>
      <c r="E32" s="73"/>
      <c r="F32" s="68"/>
      <c r="G32" s="63"/>
      <c r="H32" s="79"/>
      <c r="I32" s="3"/>
      <c r="J32" s="3"/>
      <c r="K32" s="9"/>
      <c r="L32" s="9"/>
      <c r="M32" s="9"/>
      <c r="P32" s="9"/>
    </row>
    <row r="33" spans="2:16" x14ac:dyDescent="0.25">
      <c r="B33" s="71"/>
      <c r="C33" s="75"/>
      <c r="D33" s="76"/>
      <c r="E33" s="73"/>
      <c r="F33" s="68"/>
      <c r="G33" s="63"/>
      <c r="H33" s="79"/>
      <c r="I33" s="3"/>
      <c r="J33" s="3"/>
      <c r="K33" s="9"/>
      <c r="L33" s="9"/>
      <c r="M33" s="9"/>
      <c r="P33" s="9"/>
    </row>
    <row r="34" spans="2:16" ht="16.5" customHeight="1" x14ac:dyDescent="0.25">
      <c r="B34" s="71"/>
      <c r="C34" s="75"/>
      <c r="D34" s="76"/>
      <c r="E34" s="73"/>
      <c r="F34" s="74"/>
      <c r="G34" s="40"/>
      <c r="H34" s="79"/>
      <c r="I34" s="79"/>
      <c r="J34" s="41"/>
      <c r="P34" s="9"/>
    </row>
    <row r="35" spans="2:16" ht="15" hidden="1" customHeight="1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ht="15" customHeight="1" x14ac:dyDescent="0.25">
      <c r="B36" s="9"/>
      <c r="C36" s="9"/>
      <c r="D36" s="43"/>
      <c r="E36" s="80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3"/>
      <c r="J37" s="3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3"/>
      <c r="J38" s="3"/>
      <c r="K38" s="9"/>
      <c r="L38" s="9"/>
      <c r="M38" s="9"/>
      <c r="N38" s="9"/>
      <c r="O38" s="9"/>
      <c r="P38" s="9"/>
    </row>
    <row r="39" spans="2:16" ht="15" customHeight="1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2:16" x14ac:dyDescent="0.25">
      <c r="B41" s="9"/>
      <c r="C41" s="9"/>
      <c r="D41" s="119"/>
      <c r="E41" s="119"/>
      <c r="F41" s="119"/>
      <c r="G41" s="119"/>
      <c r="H41" s="119"/>
      <c r="I41" s="119"/>
      <c r="J41" s="9"/>
      <c r="K41" s="9"/>
      <c r="L41" s="9"/>
      <c r="M41" s="9"/>
      <c r="N41" s="9"/>
      <c r="O41" s="9"/>
      <c r="P41" s="9"/>
    </row>
    <row r="42" spans="2:16" x14ac:dyDescent="0.25">
      <c r="B42" s="9"/>
      <c r="C42" s="9"/>
      <c r="D42" s="119"/>
      <c r="E42" s="119"/>
      <c r="F42" s="119"/>
      <c r="G42" s="119"/>
      <c r="H42" s="119"/>
      <c r="I42" s="119"/>
      <c r="J42" s="9"/>
      <c r="K42" s="9"/>
      <c r="L42" s="9"/>
      <c r="M42" s="9"/>
      <c r="N42" s="9"/>
      <c r="O42" s="9"/>
      <c r="P42" s="9"/>
    </row>
    <row r="43" spans="2:16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2:16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2:16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2:16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</sheetData>
  <mergeCells count="16">
    <mergeCell ref="K1:M1"/>
    <mergeCell ref="G19:H19"/>
    <mergeCell ref="G20:H25"/>
    <mergeCell ref="G27:H29"/>
    <mergeCell ref="F20:F23"/>
    <mergeCell ref="F27:F29"/>
    <mergeCell ref="G26:H26"/>
    <mergeCell ref="K2:M2"/>
    <mergeCell ref="B20:B23"/>
    <mergeCell ref="C20:C23"/>
    <mergeCell ref="D20:D23"/>
    <mergeCell ref="E27:E29"/>
    <mergeCell ref="D27:D29"/>
    <mergeCell ref="C27:C29"/>
    <mergeCell ref="B27:B29"/>
    <mergeCell ref="E20:E23"/>
  </mergeCells>
  <printOptions horizontalCentered="1" gridLines="1"/>
  <pageMargins left="0" right="0" top="0.75" bottom="0.75" header="0.3" footer="0.3"/>
  <pageSetup paperSize="5" scale="78" orientation="landscape" horizontalDpi="1200" verticalDpi="1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B1" zoomScaleNormal="100" workbookViewId="0">
      <selection activeCell="C4" sqref="C4"/>
    </sheetView>
  </sheetViews>
  <sheetFormatPr defaultRowHeight="15" x14ac:dyDescent="0.25"/>
  <cols>
    <col min="1" max="1" width="0" hidden="1" customWidth="1"/>
    <col min="2" max="2" width="52.7109375" customWidth="1"/>
    <col min="4" max="4" width="17" bestFit="1" customWidth="1"/>
    <col min="5" max="5" width="24.7109375" customWidth="1"/>
    <col min="6" max="6" width="21.5703125" bestFit="1" customWidth="1"/>
    <col min="7" max="7" width="14.7109375" customWidth="1"/>
    <col min="8" max="8" width="13.140625" customWidth="1"/>
    <col min="9" max="9" width="11.5703125" customWidth="1"/>
    <col min="10" max="10" width="3.140625" customWidth="1"/>
    <col min="11" max="11" width="12.28515625" customWidth="1"/>
    <col min="12" max="12" width="11.85546875" customWidth="1"/>
    <col min="13" max="13" width="17.7109375" customWidth="1"/>
  </cols>
  <sheetData>
    <row r="1" spans="1:14" x14ac:dyDescent="0.25">
      <c r="A1" t="s">
        <v>26</v>
      </c>
      <c r="B1" s="15" t="s">
        <v>55</v>
      </c>
      <c r="C1" s="1"/>
      <c r="D1" s="1"/>
      <c r="E1" s="9"/>
      <c r="F1" s="9"/>
      <c r="G1" s="9"/>
      <c r="H1" s="9"/>
      <c r="I1" s="9"/>
      <c r="J1" s="9"/>
      <c r="K1" s="187" t="s">
        <v>139</v>
      </c>
      <c r="L1" s="187"/>
      <c r="M1" s="187"/>
      <c r="N1" s="9"/>
    </row>
    <row r="2" spans="1:14" x14ac:dyDescent="0.25">
      <c r="B2" s="15" t="s">
        <v>134</v>
      </c>
      <c r="C2" s="9"/>
      <c r="D2" s="9"/>
      <c r="E2" s="9"/>
      <c r="F2" s="9"/>
      <c r="G2" s="169">
        <v>41571</v>
      </c>
      <c r="H2" s="169">
        <v>41820</v>
      </c>
      <c r="I2" s="9"/>
      <c r="J2" s="9"/>
      <c r="K2" s="185" t="s">
        <v>129</v>
      </c>
      <c r="L2" s="185"/>
      <c r="M2" s="185"/>
      <c r="N2" s="9"/>
    </row>
    <row r="3" spans="1:14" x14ac:dyDescent="0.25">
      <c r="B3" s="85" t="s">
        <v>124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x14ac:dyDescent="0.25">
      <c r="B4" s="85"/>
      <c r="C4" s="9"/>
      <c r="D4" s="9"/>
      <c r="E4" s="9"/>
      <c r="F4" s="9"/>
      <c r="G4" s="23" t="s">
        <v>59</v>
      </c>
      <c r="H4" s="23" t="s">
        <v>59</v>
      </c>
      <c r="I4" s="21" t="s">
        <v>59</v>
      </c>
      <c r="J4" s="9"/>
      <c r="K4" s="23" t="s">
        <v>60</v>
      </c>
      <c r="L4" s="21" t="s">
        <v>62</v>
      </c>
      <c r="M4" s="20" t="s">
        <v>42</v>
      </c>
      <c r="N4" s="9"/>
    </row>
    <row r="5" spans="1:14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9"/>
    </row>
    <row r="6" spans="1:14" x14ac:dyDescent="0.25">
      <c r="B6" s="86" t="s">
        <v>1</v>
      </c>
      <c r="C6" s="86" t="s">
        <v>2</v>
      </c>
      <c r="D6" s="86" t="s">
        <v>3</v>
      </c>
      <c r="E6" s="86" t="s">
        <v>4</v>
      </c>
      <c r="F6" s="86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9"/>
    </row>
    <row r="7" spans="1:14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">
        <v>24722.59</v>
      </c>
      <c r="H7" s="48">
        <v>0</v>
      </c>
      <c r="I7" s="48">
        <f>G7+H7</f>
        <v>24722.59</v>
      </c>
      <c r="J7" s="48"/>
      <c r="K7" s="48">
        <f>13067.93+11654.66</f>
        <v>24722.59</v>
      </c>
      <c r="L7" s="48">
        <v>0</v>
      </c>
      <c r="M7" s="50">
        <f>K7+L7</f>
        <v>24722.59</v>
      </c>
      <c r="N7" s="9"/>
    </row>
    <row r="8" spans="1:14" x14ac:dyDescent="0.3">
      <c r="B8" s="3" t="s">
        <v>9</v>
      </c>
      <c r="C8" s="90">
        <v>84.027000000000001</v>
      </c>
      <c r="D8" s="3" t="s">
        <v>133</v>
      </c>
      <c r="E8" s="3" t="s">
        <v>7</v>
      </c>
      <c r="F8" s="3" t="s">
        <v>132</v>
      </c>
      <c r="G8" s="4">
        <v>5367.4</v>
      </c>
      <c r="H8" s="48"/>
      <c r="I8" s="48">
        <f>G8+H8</f>
        <v>5367.4</v>
      </c>
      <c r="J8" s="48"/>
      <c r="K8" s="48">
        <f>3751.7+1615.7</f>
        <v>5367.4</v>
      </c>
      <c r="L8" s="48"/>
      <c r="M8" s="165">
        <f>K8+L8</f>
        <v>5367.4</v>
      </c>
      <c r="N8" s="9"/>
    </row>
    <row r="9" spans="1:14" x14ac:dyDescent="0.3">
      <c r="B9" s="3" t="s">
        <v>43</v>
      </c>
      <c r="C9" s="7">
        <v>84.281999999999996</v>
      </c>
      <c r="D9" s="3" t="s">
        <v>56</v>
      </c>
      <c r="E9" s="3" t="s">
        <v>7</v>
      </c>
      <c r="F9" s="3" t="s">
        <v>151</v>
      </c>
      <c r="G9" s="4">
        <v>25000</v>
      </c>
      <c r="H9" s="48"/>
      <c r="I9" s="48">
        <f>G9+H9</f>
        <v>25000</v>
      </c>
      <c r="J9" s="48"/>
      <c r="K9" s="48">
        <v>0</v>
      </c>
      <c r="L9" s="48"/>
      <c r="M9" s="165">
        <f>K9+L9</f>
        <v>0</v>
      </c>
      <c r="N9" s="9"/>
    </row>
    <row r="10" spans="1:14" x14ac:dyDescent="0.3">
      <c r="B10" s="3"/>
      <c r="C10" s="87"/>
      <c r="D10" s="3"/>
      <c r="E10" s="3"/>
      <c r="F10" s="3"/>
      <c r="G10" s="53"/>
      <c r="H10" s="53"/>
      <c r="I10" s="53"/>
      <c r="J10" s="59"/>
      <c r="K10" s="53"/>
      <c r="L10" s="53"/>
      <c r="M10" s="54"/>
      <c r="N10" s="9"/>
    </row>
    <row r="11" spans="1:14" x14ac:dyDescent="0.3">
      <c r="B11" s="59"/>
      <c r="C11" s="7"/>
      <c r="D11" s="3"/>
      <c r="E11" s="3"/>
      <c r="F11" s="12"/>
      <c r="G11" s="10"/>
      <c r="H11" s="10"/>
      <c r="I11" s="10"/>
      <c r="J11" s="59"/>
      <c r="K11" s="10"/>
      <c r="L11" s="10"/>
      <c r="M11" s="50"/>
      <c r="N11" s="9"/>
    </row>
    <row r="12" spans="1:14" x14ac:dyDescent="0.3">
      <c r="B12" s="3"/>
      <c r="C12" s="7"/>
      <c r="D12" s="3"/>
      <c r="E12" s="3"/>
      <c r="F12" s="12"/>
      <c r="G12" s="10">
        <f>SUM(G7:G11)</f>
        <v>55089.99</v>
      </c>
      <c r="H12" s="10">
        <f>SUM(H7:H11)</f>
        <v>0</v>
      </c>
      <c r="I12" s="10">
        <f>SUM(I7:I11)</f>
        <v>55089.99</v>
      </c>
      <c r="J12" s="3"/>
      <c r="K12" s="10">
        <f>SUM(K7:K11)</f>
        <v>30089.989999999998</v>
      </c>
      <c r="L12" s="10">
        <f>SUM(L7:L11)</f>
        <v>0</v>
      </c>
      <c r="M12" s="50">
        <f>SUM(M7:M11)</f>
        <v>30089.989999999998</v>
      </c>
      <c r="N12" s="9"/>
    </row>
    <row r="13" spans="1:14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9"/>
    </row>
    <row r="14" spans="1:14" x14ac:dyDescent="0.3">
      <c r="B14" s="3"/>
      <c r="C14" s="7"/>
      <c r="D14" s="3"/>
      <c r="E14" s="3"/>
      <c r="F14" s="12"/>
      <c r="G14" s="10"/>
      <c r="H14" s="10"/>
      <c r="I14" s="10"/>
      <c r="J14" s="3"/>
      <c r="K14" s="10"/>
      <c r="L14" s="10"/>
      <c r="M14" s="50"/>
      <c r="N14" s="9"/>
    </row>
    <row r="15" spans="1:14" x14ac:dyDescent="0.3">
      <c r="B15" s="27"/>
      <c r="C15" s="27"/>
      <c r="D15" s="27"/>
      <c r="E15" s="27"/>
      <c r="F15" s="27"/>
      <c r="G15" s="27"/>
      <c r="H15" s="27"/>
      <c r="I15" s="27"/>
      <c r="J15" s="59"/>
      <c r="K15" s="27"/>
      <c r="L15" s="27"/>
      <c r="M15" s="57"/>
      <c r="N15" s="9"/>
    </row>
    <row r="16" spans="1:14" x14ac:dyDescent="0.3">
      <c r="B16" s="3"/>
      <c r="C16" s="3"/>
      <c r="D16" s="3"/>
      <c r="E16" s="3"/>
      <c r="F16" s="3"/>
      <c r="G16" s="3"/>
      <c r="H16" s="3"/>
      <c r="I16" s="3"/>
      <c r="J16" s="59"/>
      <c r="K16" s="3"/>
      <c r="L16" s="3"/>
      <c r="M16" s="3"/>
      <c r="N16" s="9"/>
    </row>
    <row r="17" spans="2:14" x14ac:dyDescent="0.3">
      <c r="B17" s="37" t="s">
        <v>71</v>
      </c>
      <c r="C17" s="86" t="s">
        <v>2</v>
      </c>
      <c r="D17" s="86" t="s">
        <v>65</v>
      </c>
      <c r="E17" s="86" t="s">
        <v>66</v>
      </c>
      <c r="F17" s="86" t="s">
        <v>67</v>
      </c>
      <c r="G17" s="86" t="s">
        <v>68</v>
      </c>
      <c r="H17" s="3"/>
      <c r="I17" s="3"/>
      <c r="J17" s="3"/>
      <c r="K17" s="114" t="s">
        <v>183</v>
      </c>
      <c r="L17" s="104"/>
      <c r="M17" s="104"/>
      <c r="N17" s="104"/>
    </row>
    <row r="18" spans="2:14" x14ac:dyDescent="0.3">
      <c r="B18" s="32"/>
      <c r="C18" s="33"/>
      <c r="D18" s="76"/>
      <c r="E18" s="35"/>
      <c r="F18" s="36"/>
      <c r="G18" s="40"/>
      <c r="H18" s="97"/>
      <c r="I18" s="97"/>
      <c r="J18" s="97"/>
      <c r="K18" s="112" t="s">
        <v>181</v>
      </c>
      <c r="L18" s="112"/>
      <c r="M18" s="112"/>
      <c r="N18" s="104"/>
    </row>
    <row r="19" spans="2:14" x14ac:dyDescent="0.3">
      <c r="B19" s="32"/>
      <c r="C19" s="33"/>
      <c r="D19" s="76"/>
      <c r="E19" s="35"/>
      <c r="F19" s="36"/>
      <c r="G19" s="40"/>
      <c r="H19" s="38"/>
      <c r="I19" s="38"/>
      <c r="J19" s="38"/>
      <c r="K19" s="104"/>
      <c r="L19" s="104"/>
      <c r="M19" s="104"/>
      <c r="N19" s="104"/>
    </row>
    <row r="20" spans="2:14" x14ac:dyDescent="0.3">
      <c r="B20" s="71"/>
      <c r="C20" s="75"/>
      <c r="D20" s="76"/>
      <c r="E20" s="73"/>
      <c r="F20" s="74"/>
      <c r="G20" s="69"/>
      <c r="H20" s="42"/>
      <c r="I20" s="42"/>
      <c r="J20" s="42"/>
      <c r="K20" s="9"/>
      <c r="L20" s="9"/>
      <c r="M20" s="9"/>
      <c r="N20" s="9"/>
    </row>
    <row r="21" spans="2:14" x14ac:dyDescent="0.3">
      <c r="B21" s="3"/>
      <c r="C21" s="75"/>
      <c r="D21" s="76"/>
      <c r="E21" s="66"/>
      <c r="F21" s="68"/>
      <c r="G21" s="63"/>
      <c r="H21" s="3"/>
      <c r="I21" s="3"/>
      <c r="J21" s="9"/>
      <c r="K21" s="9"/>
      <c r="L21" s="9"/>
      <c r="M21" s="9"/>
    </row>
    <row r="22" spans="2:14" x14ac:dyDescent="0.3">
      <c r="B22" s="3"/>
      <c r="C22" s="75"/>
      <c r="D22" s="76"/>
      <c r="E22" s="66"/>
      <c r="F22" s="68"/>
      <c r="G22" s="63"/>
      <c r="H22" s="3"/>
      <c r="I22" s="3"/>
      <c r="J22" s="9"/>
      <c r="K22" s="9"/>
      <c r="L22" s="9"/>
      <c r="M22" s="9"/>
    </row>
  </sheetData>
  <mergeCells count="2">
    <mergeCell ref="K1:M1"/>
    <mergeCell ref="K2:M2"/>
  </mergeCells>
  <printOptions gridLines="1"/>
  <pageMargins left="0.7" right="0.7" top="0.75" bottom="0.75" header="0.3" footer="0.3"/>
  <pageSetup paperSize="5" scale="75" orientation="landscape" horizontalDpi="1200" verticalDpi="1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opLeftCell="F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33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125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82">
        <v>3697.55</v>
      </c>
      <c r="H7" s="82">
        <v>0</v>
      </c>
      <c r="I7" s="48">
        <f>G7+H7</f>
        <v>3697.55</v>
      </c>
      <c r="J7" s="81"/>
      <c r="K7" s="83">
        <f>1540.91+1430.44</f>
        <v>2971.3500000000004</v>
      </c>
      <c r="L7" s="48"/>
      <c r="M7" s="50">
        <f>K7+L7</f>
        <v>2971.3500000000004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168">
        <v>8271.43</v>
      </c>
      <c r="H8" s="167">
        <f>15345.57-8559.85</f>
        <v>6785.7199999999993</v>
      </c>
      <c r="I8" s="48">
        <f>G8+H8</f>
        <v>15057.15</v>
      </c>
      <c r="J8" s="81"/>
      <c r="K8" s="83">
        <f>8271.43+5533.22+625+627.5</f>
        <v>15057.150000000001</v>
      </c>
      <c r="L8" s="48">
        <v>0</v>
      </c>
      <c r="M8" s="50">
        <f>K8+L8</f>
        <v>15057.150000000001</v>
      </c>
      <c r="N8" s="3"/>
      <c r="O8" s="9"/>
      <c r="P8" s="9"/>
    </row>
    <row r="9" spans="1:16" ht="14.45" x14ac:dyDescent="0.3">
      <c r="B9" s="3"/>
      <c r="C9" s="65"/>
      <c r="D9" s="3"/>
      <c r="E9" s="3"/>
      <c r="F9" s="3"/>
      <c r="G9" s="53"/>
      <c r="H9" s="53"/>
      <c r="I9" s="53"/>
      <c r="J9" s="59"/>
      <c r="K9" s="53"/>
      <c r="L9" s="53"/>
      <c r="M9" s="54"/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10"/>
      <c r="H10" s="10"/>
      <c r="I10" s="10"/>
      <c r="J10" s="3"/>
      <c r="K10" s="10"/>
      <c r="L10" s="10"/>
      <c r="M10" s="50"/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>
        <f>SUM(G7:G10)</f>
        <v>11968.98</v>
      </c>
      <c r="H11" s="10">
        <f>SUM(H7:H10)</f>
        <v>6785.7199999999993</v>
      </c>
      <c r="I11" s="10">
        <f>SUM(I7:I10)</f>
        <v>18754.7</v>
      </c>
      <c r="J11" s="3"/>
      <c r="K11" s="10">
        <f>SUM(K7:K10)</f>
        <v>18028.5</v>
      </c>
      <c r="L11" s="10">
        <f>SUM(L7:L10)</f>
        <v>0</v>
      </c>
      <c r="M11" s="50">
        <f>SUM(M7:M10)</f>
        <v>18028.5</v>
      </c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27"/>
      <c r="C14" s="27"/>
      <c r="D14" s="27"/>
      <c r="E14" s="27"/>
      <c r="F14" s="27"/>
      <c r="G14" s="27"/>
      <c r="H14" s="27"/>
      <c r="I14" s="27"/>
      <c r="J14" s="59"/>
      <c r="K14" s="27"/>
      <c r="L14" s="27"/>
      <c r="M14" s="57"/>
      <c r="N14" s="3"/>
      <c r="O14" s="9"/>
      <c r="P14" s="9"/>
    </row>
    <row r="15" spans="1:16" ht="14.45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0"/>
      <c r="J16" s="90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2"/>
      <c r="C17" s="33"/>
      <c r="D17" s="76"/>
      <c r="E17" s="35"/>
      <c r="F17" s="36"/>
      <c r="G17" s="40"/>
      <c r="H17" s="38"/>
      <c r="I17" s="38"/>
      <c r="J17" s="38"/>
      <c r="K17" s="104" t="s">
        <v>181</v>
      </c>
      <c r="L17" s="104"/>
      <c r="M17" s="104"/>
      <c r="N17" s="104"/>
      <c r="O17" s="9"/>
      <c r="P17" s="9"/>
    </row>
    <row r="18" spans="2:16" ht="15" customHeight="1" x14ac:dyDescent="0.3">
      <c r="B18" s="32"/>
      <c r="C18" s="33"/>
      <c r="D18" s="76"/>
      <c r="E18" s="35"/>
      <c r="F18" s="68"/>
      <c r="G18" s="63"/>
      <c r="H18" s="77"/>
      <c r="I18" s="41"/>
      <c r="J18" s="38"/>
      <c r="K18" s="9"/>
      <c r="P18" s="9"/>
    </row>
    <row r="19" spans="2:16" ht="15" customHeight="1" x14ac:dyDescent="0.3">
      <c r="B19" s="32"/>
      <c r="C19" s="33"/>
      <c r="D19" s="76"/>
      <c r="E19" s="35"/>
      <c r="F19" s="68"/>
      <c r="G19" s="63"/>
      <c r="H19" s="77"/>
      <c r="I19" s="41"/>
      <c r="J19" s="38"/>
      <c r="K19" s="9"/>
      <c r="P19" s="9"/>
    </row>
    <row r="20" spans="2:16" ht="14.45" x14ac:dyDescent="0.3">
      <c r="B20" s="71"/>
      <c r="C20" s="75"/>
      <c r="D20" s="76"/>
      <c r="E20" s="73"/>
      <c r="F20" s="68"/>
      <c r="G20" s="63"/>
      <c r="H20" s="79"/>
      <c r="I20" s="3"/>
      <c r="J20" s="3"/>
      <c r="K20" s="9"/>
      <c r="L20" s="9"/>
      <c r="M20" s="9"/>
      <c r="P20" s="9"/>
    </row>
    <row r="21" spans="2:16" ht="14.45" x14ac:dyDescent="0.3">
      <c r="B21" s="71"/>
      <c r="C21" s="75"/>
      <c r="D21" s="76"/>
      <c r="E21" s="73"/>
      <c r="F21" s="68"/>
      <c r="G21" s="63"/>
      <c r="H21" s="79"/>
      <c r="I21" s="3"/>
      <c r="J21" s="3"/>
      <c r="K21" s="9"/>
      <c r="L21" s="9"/>
      <c r="M21" s="9"/>
      <c r="P21" s="9"/>
    </row>
    <row r="22" spans="2:16" ht="16.5" customHeight="1" x14ac:dyDescent="0.3">
      <c r="B22" s="71"/>
      <c r="C22" s="75"/>
      <c r="D22" s="76"/>
      <c r="E22" s="73"/>
      <c r="F22" s="74"/>
      <c r="G22" s="40"/>
      <c r="H22" s="79"/>
      <c r="I22" s="79"/>
      <c r="J22" s="41"/>
      <c r="P22" s="9"/>
    </row>
    <row r="23" spans="2:16" ht="15" hidden="1" customHeight="1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ht="15" customHeight="1" x14ac:dyDescent="0.25">
      <c r="B24" s="9"/>
      <c r="C24" s="9"/>
      <c r="D24" s="43"/>
      <c r="E24" s="8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3"/>
      <c r="J25" s="3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3"/>
      <c r="J26" s="3"/>
      <c r="K26" s="9"/>
      <c r="L26" s="9"/>
      <c r="M26" s="9"/>
      <c r="N26" s="9"/>
      <c r="O26" s="9"/>
      <c r="P26" s="9"/>
    </row>
    <row r="27" spans="2:16" ht="15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85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126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82">
        <v>4519.5600000000004</v>
      </c>
      <c r="H7" s="82">
        <v>0</v>
      </c>
      <c r="I7" s="48">
        <f>G7+H7</f>
        <v>4519.5600000000004</v>
      </c>
      <c r="J7" s="81"/>
      <c r="K7" s="83">
        <v>4519</v>
      </c>
      <c r="L7" s="48"/>
      <c r="M7" s="50">
        <f>K7+L7</f>
        <v>4519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82">
        <v>5367.4</v>
      </c>
      <c r="H8" s="171">
        <f>-0.04</f>
        <v>-0.04</v>
      </c>
      <c r="I8" s="48">
        <f>G8+H8</f>
        <v>5367.36</v>
      </c>
      <c r="J8" s="81"/>
      <c r="K8" s="83">
        <v>5367</v>
      </c>
      <c r="L8" s="48">
        <v>0</v>
      </c>
      <c r="M8" s="50">
        <f>K8+L8</f>
        <v>5367</v>
      </c>
      <c r="N8" s="3"/>
      <c r="O8" s="9"/>
      <c r="P8" s="9"/>
    </row>
    <row r="9" spans="1:16" ht="14.45" x14ac:dyDescent="0.3">
      <c r="B9" s="3" t="s">
        <v>74</v>
      </c>
      <c r="C9" s="65">
        <v>84.367000000000004</v>
      </c>
      <c r="D9" s="3" t="s">
        <v>145</v>
      </c>
      <c r="E9" s="3" t="s">
        <v>7</v>
      </c>
      <c r="F9" s="3" t="s">
        <v>132</v>
      </c>
      <c r="G9" s="48">
        <v>5000</v>
      </c>
      <c r="H9" s="172">
        <v>-1000</v>
      </c>
      <c r="I9" s="48">
        <f>G9+H9</f>
        <v>4000</v>
      </c>
      <c r="J9" s="59"/>
      <c r="K9" s="48">
        <f>770.13+132.02+132.02+274.76+132.02+132.02+132.02+132.02+132.02+132.02+132.02+670.27</f>
        <v>2903.34</v>
      </c>
      <c r="L9" s="48"/>
      <c r="M9" s="50">
        <f>K9+L9</f>
        <v>2903.34</v>
      </c>
      <c r="N9" s="3"/>
      <c r="O9" s="9"/>
      <c r="P9" s="9"/>
    </row>
    <row r="10" spans="1:16" ht="14.45" x14ac:dyDescent="0.3">
      <c r="B10" s="59"/>
      <c r="C10" s="7"/>
      <c r="D10" s="3"/>
      <c r="E10" s="3"/>
      <c r="F10" s="12"/>
      <c r="G10" s="53"/>
      <c r="H10" s="53"/>
      <c r="I10" s="53"/>
      <c r="J10" s="27"/>
      <c r="K10" s="53"/>
      <c r="L10" s="53"/>
      <c r="M10" s="54"/>
      <c r="N10" s="3"/>
      <c r="O10" s="9"/>
      <c r="P10" s="9"/>
    </row>
    <row r="11" spans="1:16" ht="14.45" x14ac:dyDescent="0.3">
      <c r="B11" s="59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>
        <f>SUM(G7:G10)</f>
        <v>14886.96</v>
      </c>
      <c r="H12" s="174">
        <f>SUM(H7:H10)</f>
        <v>-1000.04</v>
      </c>
      <c r="I12" s="10">
        <f>SUM(I7:I10)</f>
        <v>13886.92</v>
      </c>
      <c r="J12" s="3"/>
      <c r="K12" s="10">
        <f>SUM(K7:K10)</f>
        <v>12789.34</v>
      </c>
      <c r="L12" s="10">
        <f>SUM(L7:L10)</f>
        <v>0</v>
      </c>
      <c r="M12" s="50">
        <f>SUM(M7:M10)</f>
        <v>12789.34</v>
      </c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/>
      <c r="H14" s="10"/>
      <c r="I14" s="10"/>
      <c r="J14" s="59"/>
      <c r="K14" s="10"/>
      <c r="L14" s="10"/>
      <c r="M14" s="50"/>
      <c r="N14" s="3"/>
      <c r="O14" s="9"/>
      <c r="P14" s="9"/>
    </row>
    <row r="15" spans="1:16" ht="14.45" x14ac:dyDescent="0.3">
      <c r="B15" s="27"/>
      <c r="C15" s="27"/>
      <c r="D15" s="27"/>
      <c r="E15" s="27"/>
      <c r="F15" s="27"/>
      <c r="G15" s="27"/>
      <c r="H15" s="27"/>
      <c r="I15" s="27"/>
      <c r="J15" s="59"/>
      <c r="K15" s="27"/>
      <c r="L15" s="27"/>
      <c r="M15" s="57"/>
      <c r="N15" s="3"/>
      <c r="O15" s="9"/>
      <c r="P15" s="9"/>
    </row>
    <row r="16" spans="1:16" ht="14.45" x14ac:dyDescent="0.3">
      <c r="B16" s="3"/>
      <c r="C16" s="3"/>
      <c r="D16" s="3"/>
      <c r="E16" s="3"/>
      <c r="F16" s="3"/>
      <c r="G16" s="3"/>
      <c r="H16" s="90"/>
      <c r="I16" s="90"/>
      <c r="J16" s="90"/>
      <c r="K16" s="115"/>
      <c r="L16" s="103"/>
      <c r="M16" s="103"/>
      <c r="N16" s="104"/>
      <c r="O16" s="9"/>
      <c r="P16" s="9"/>
    </row>
    <row r="17" spans="2:16" ht="14.45" x14ac:dyDescent="0.3">
      <c r="B17" s="37" t="s">
        <v>71</v>
      </c>
      <c r="C17" s="8" t="s">
        <v>2</v>
      </c>
      <c r="D17" s="8" t="s">
        <v>65</v>
      </c>
      <c r="E17" s="8" t="s">
        <v>66</v>
      </c>
      <c r="F17" s="8" t="s">
        <v>67</v>
      </c>
      <c r="G17" s="8" t="s">
        <v>68</v>
      </c>
      <c r="H17" s="3"/>
      <c r="I17" s="3"/>
      <c r="J17" s="3"/>
      <c r="K17" s="115" t="s">
        <v>183</v>
      </c>
      <c r="L17" s="103"/>
      <c r="M17" s="103"/>
      <c r="N17" s="104"/>
      <c r="O17" s="9"/>
      <c r="P17" s="9"/>
    </row>
    <row r="18" spans="2:16" ht="14.45" x14ac:dyDescent="0.3">
      <c r="B18" s="32"/>
      <c r="C18" s="33"/>
      <c r="D18" s="76"/>
      <c r="E18" s="35"/>
      <c r="F18" s="36"/>
      <c r="G18" s="40"/>
      <c r="H18" s="38"/>
      <c r="I18" s="38"/>
      <c r="J18" s="38"/>
      <c r="K18" s="104" t="s">
        <v>181</v>
      </c>
      <c r="L18" s="104"/>
      <c r="M18" s="104"/>
      <c r="N18" s="3"/>
      <c r="O18" s="9"/>
      <c r="P18" s="9"/>
    </row>
    <row r="19" spans="2:16" ht="15" customHeight="1" x14ac:dyDescent="0.3">
      <c r="B19" s="32"/>
      <c r="C19" s="33"/>
      <c r="D19" s="76"/>
      <c r="E19" s="35"/>
      <c r="F19" s="68"/>
      <c r="G19" s="63"/>
      <c r="H19" s="77"/>
      <c r="I19" s="41"/>
      <c r="J19" s="38"/>
      <c r="K19" s="9"/>
      <c r="P19" s="9"/>
    </row>
    <row r="20" spans="2:16" ht="15" customHeight="1" x14ac:dyDescent="0.3">
      <c r="B20" s="3"/>
      <c r="C20" s="33"/>
      <c r="D20" s="76"/>
      <c r="E20" s="35"/>
      <c r="F20" s="68"/>
      <c r="G20" s="63"/>
      <c r="H20" s="3"/>
      <c r="I20" s="41"/>
      <c r="J20" s="38"/>
      <c r="K20" s="9"/>
      <c r="P20" s="9"/>
    </row>
    <row r="21" spans="2:16" ht="15" customHeight="1" x14ac:dyDescent="0.3">
      <c r="B21" s="32"/>
      <c r="C21" s="33"/>
      <c r="D21" s="76"/>
      <c r="E21" s="35"/>
      <c r="F21" s="68"/>
      <c r="G21" s="63"/>
      <c r="H21" s="77"/>
      <c r="I21" s="41"/>
      <c r="J21" s="38"/>
      <c r="K21" s="9"/>
      <c r="P21" s="9"/>
    </row>
    <row r="22" spans="2:16" ht="14.45" x14ac:dyDescent="0.3">
      <c r="B22" s="71"/>
      <c r="C22" s="75"/>
      <c r="D22" s="76"/>
      <c r="E22" s="73"/>
      <c r="F22" s="68"/>
      <c r="G22" s="63"/>
      <c r="H22" s="79"/>
      <c r="I22" s="3"/>
      <c r="J22" s="3"/>
      <c r="K22" s="9"/>
      <c r="L22" s="9"/>
      <c r="M22" s="9"/>
      <c r="P22" s="9"/>
    </row>
    <row r="23" spans="2:16" ht="14.45" x14ac:dyDescent="0.3">
      <c r="B23" s="71"/>
      <c r="C23" s="75"/>
      <c r="D23" s="76"/>
      <c r="E23" s="73"/>
      <c r="F23" s="68"/>
      <c r="G23" s="63"/>
      <c r="H23" s="79"/>
      <c r="I23" s="3"/>
      <c r="J23" s="3"/>
      <c r="K23" s="9"/>
      <c r="L23" s="9"/>
      <c r="M23" s="9"/>
      <c r="P23" s="9"/>
    </row>
    <row r="24" spans="2:16" ht="16.5" customHeight="1" x14ac:dyDescent="0.25">
      <c r="B24" s="71"/>
      <c r="C24" s="75"/>
      <c r="D24" s="76"/>
      <c r="E24" s="73"/>
      <c r="F24" s="74"/>
      <c r="G24" s="40"/>
      <c r="H24" s="79"/>
      <c r="I24" s="79"/>
      <c r="J24" s="41"/>
      <c r="P24" s="9"/>
    </row>
    <row r="25" spans="2:16" ht="15" hidden="1" customHeight="1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ht="15" customHeight="1" x14ac:dyDescent="0.25">
      <c r="B26" s="9"/>
      <c r="C26" s="9"/>
      <c r="D26" s="43"/>
      <c r="E26" s="8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3"/>
      <c r="J27" s="3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3"/>
      <c r="J28" s="3"/>
      <c r="K28" s="9"/>
      <c r="L28" s="9"/>
      <c r="M28" s="9"/>
      <c r="N28" s="9"/>
      <c r="O28" s="9"/>
      <c r="P28" s="9"/>
    </row>
    <row r="29" spans="2:16" ht="15" customHeight="1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48.8554687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86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127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ht="14.45" x14ac:dyDescent="0.3">
      <c r="B7" s="3" t="s">
        <v>9</v>
      </c>
      <c r="C7" s="65">
        <v>84.027000000000001</v>
      </c>
      <c r="D7" s="3" t="s">
        <v>133</v>
      </c>
      <c r="E7" s="3" t="s">
        <v>7</v>
      </c>
      <c r="F7" s="3" t="s">
        <v>132</v>
      </c>
      <c r="G7" s="82">
        <f>65482.3-2146.96</f>
        <v>63335.340000000004</v>
      </c>
      <c r="H7" s="171">
        <f>K7-G7</f>
        <v>-0.3400000000037835</v>
      </c>
      <c r="I7" s="48">
        <f>G7+H7</f>
        <v>63335</v>
      </c>
      <c r="J7" s="81"/>
      <c r="K7" s="83">
        <f>46128.96+17206.04</f>
        <v>63335</v>
      </c>
      <c r="L7" s="48">
        <v>0</v>
      </c>
      <c r="M7" s="50">
        <f>K7+L7</f>
        <v>63335</v>
      </c>
      <c r="N7" s="3"/>
      <c r="O7" s="9"/>
      <c r="P7" s="9"/>
    </row>
    <row r="8" spans="1:16" ht="27.6" x14ac:dyDescent="0.3">
      <c r="B8" s="88" t="s">
        <v>136</v>
      </c>
      <c r="C8" s="89">
        <v>84.394999999999996</v>
      </c>
      <c r="D8" s="89" t="s">
        <v>137</v>
      </c>
      <c r="E8" s="90" t="s">
        <v>7</v>
      </c>
      <c r="F8" s="90" t="s">
        <v>138</v>
      </c>
      <c r="G8" s="53">
        <v>452.13</v>
      </c>
      <c r="H8" s="53"/>
      <c r="I8" s="53">
        <f>G8+H8</f>
        <v>452.13</v>
      </c>
      <c r="J8" s="59"/>
      <c r="K8" s="53">
        <v>452.13</v>
      </c>
      <c r="L8" s="53"/>
      <c r="M8" s="54">
        <f>K8+L8</f>
        <v>452.13</v>
      </c>
      <c r="N8" s="3"/>
      <c r="O8" s="9"/>
      <c r="P8" s="9"/>
    </row>
    <row r="9" spans="1:16" ht="14.45" x14ac:dyDescent="0.3">
      <c r="B9" s="59"/>
      <c r="C9" s="7"/>
      <c r="D9" s="3"/>
      <c r="E9" s="3"/>
      <c r="F9" s="12"/>
      <c r="G9" s="10"/>
      <c r="H9" s="10"/>
      <c r="I9" s="10"/>
      <c r="J9" s="59"/>
      <c r="K9" s="10"/>
      <c r="L9" s="10"/>
      <c r="M9" s="50"/>
      <c r="N9" s="3"/>
      <c r="O9" s="9"/>
      <c r="P9" s="9"/>
    </row>
    <row r="10" spans="1:16" ht="14.45" x14ac:dyDescent="0.3">
      <c r="B10" s="3"/>
      <c r="C10" s="7"/>
      <c r="D10" s="3"/>
      <c r="E10" s="3"/>
      <c r="F10" s="12"/>
      <c r="G10" s="10">
        <f>SUM(G7:G8)</f>
        <v>63787.47</v>
      </c>
      <c r="H10" s="174">
        <f>SUM(H7:H8)</f>
        <v>-0.3400000000037835</v>
      </c>
      <c r="I10" s="10">
        <f>SUM(I7:I8)</f>
        <v>63787.13</v>
      </c>
      <c r="J10" s="3"/>
      <c r="K10" s="10">
        <f>SUM(K7:K8)</f>
        <v>63787.13</v>
      </c>
      <c r="L10" s="10">
        <f>SUM(L7:L8)</f>
        <v>0</v>
      </c>
      <c r="M10" s="50">
        <f>SUM(M7:M8)</f>
        <v>63787.13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/>
      <c r="H12" s="10"/>
      <c r="I12" s="10"/>
      <c r="J12" s="3"/>
      <c r="K12" s="10"/>
      <c r="L12" s="10"/>
      <c r="M12" s="50"/>
      <c r="N12" s="3"/>
      <c r="O12" s="9"/>
      <c r="P12" s="9"/>
    </row>
    <row r="13" spans="1:16" ht="14.45" x14ac:dyDescent="0.3">
      <c r="B13" s="27"/>
      <c r="C13" s="27"/>
      <c r="D13" s="27"/>
      <c r="E13" s="27"/>
      <c r="F13" s="27"/>
      <c r="G13" s="27"/>
      <c r="H13" s="27"/>
      <c r="I13" s="27"/>
      <c r="J13" s="59"/>
      <c r="K13" s="27"/>
      <c r="L13" s="27"/>
      <c r="M13" s="57"/>
      <c r="N13" s="3"/>
      <c r="O13" s="9"/>
      <c r="P13" s="9"/>
    </row>
    <row r="14" spans="1:16" ht="14.45" x14ac:dyDescent="0.3">
      <c r="B14" s="3"/>
      <c r="C14" s="3"/>
      <c r="D14" s="3"/>
      <c r="E14" s="3"/>
      <c r="F14" s="3"/>
      <c r="G14" s="3"/>
      <c r="H14" s="3"/>
      <c r="I14" s="3"/>
      <c r="J14" s="59"/>
      <c r="K14" s="3"/>
      <c r="L14" s="3"/>
      <c r="M14" s="3"/>
      <c r="N14" s="3"/>
      <c r="O14" s="9"/>
      <c r="P14" s="9"/>
    </row>
    <row r="15" spans="1:16" ht="14.45" x14ac:dyDescent="0.3">
      <c r="B15" s="37" t="s">
        <v>71</v>
      </c>
      <c r="C15" s="8" t="s">
        <v>2</v>
      </c>
      <c r="D15" s="8" t="s">
        <v>65</v>
      </c>
      <c r="E15" s="8" t="s">
        <v>66</v>
      </c>
      <c r="F15" s="8" t="s">
        <v>67</v>
      </c>
      <c r="G15" s="8" t="s">
        <v>68</v>
      </c>
      <c r="H15" s="3"/>
      <c r="I15" s="3"/>
      <c r="J15" s="3"/>
      <c r="K15" s="114" t="s">
        <v>183</v>
      </c>
      <c r="L15" s="104"/>
      <c r="M15" s="104"/>
      <c r="N15" s="3"/>
      <c r="O15" s="9"/>
      <c r="P15" s="9"/>
    </row>
    <row r="16" spans="1:16" ht="14.45" x14ac:dyDescent="0.3">
      <c r="B16" s="32"/>
      <c r="C16" s="33"/>
      <c r="D16" s="76"/>
      <c r="E16" s="35"/>
      <c r="F16" s="36"/>
      <c r="G16" s="40"/>
      <c r="H16" s="97"/>
      <c r="I16" s="97"/>
      <c r="J16" s="97"/>
      <c r="K16" s="104" t="s">
        <v>181</v>
      </c>
      <c r="L16" s="104"/>
      <c r="M16" s="104"/>
      <c r="N16" s="104"/>
      <c r="O16" s="9"/>
      <c r="P16" s="9"/>
    </row>
    <row r="17" spans="2:16" ht="15" customHeight="1" x14ac:dyDescent="0.3">
      <c r="B17" s="32"/>
      <c r="C17" s="33"/>
      <c r="D17" s="76"/>
      <c r="E17" s="35"/>
      <c r="F17" s="68"/>
      <c r="G17" s="63"/>
      <c r="H17" s="77"/>
      <c r="I17" s="41"/>
      <c r="J17" s="38"/>
      <c r="K17" s="104"/>
      <c r="L17" s="104"/>
      <c r="M17" s="104"/>
      <c r="N17" s="104"/>
      <c r="P17" s="9"/>
    </row>
    <row r="18" spans="2:16" ht="14.45" x14ac:dyDescent="0.3">
      <c r="B18" s="71"/>
      <c r="C18" s="75"/>
      <c r="D18" s="76"/>
      <c r="E18" s="73"/>
      <c r="F18" s="68"/>
      <c r="G18" s="63"/>
      <c r="H18" s="79"/>
      <c r="I18" s="3"/>
      <c r="J18" s="3"/>
      <c r="K18" s="9"/>
      <c r="L18" s="9"/>
      <c r="M18" s="9"/>
      <c r="P18" s="9"/>
    </row>
    <row r="19" spans="2:16" ht="14.45" x14ac:dyDescent="0.3">
      <c r="B19" s="71"/>
      <c r="C19" s="75"/>
      <c r="D19" s="76"/>
      <c r="E19" s="73"/>
      <c r="F19" s="68"/>
      <c r="G19" s="63"/>
      <c r="H19" s="79"/>
      <c r="I19" s="3"/>
      <c r="J19" s="3"/>
      <c r="K19" s="9"/>
      <c r="L19" s="9"/>
      <c r="M19" s="9"/>
      <c r="P19" s="9"/>
    </row>
    <row r="20" spans="2:16" ht="16.5" customHeight="1" x14ac:dyDescent="0.3">
      <c r="B20" s="71"/>
      <c r="C20" s="75"/>
      <c r="D20" s="76"/>
      <c r="E20" s="73"/>
      <c r="F20" s="74"/>
      <c r="G20" s="40"/>
      <c r="H20" s="79"/>
      <c r="I20" s="79"/>
      <c r="J20" s="41"/>
      <c r="P20" s="9"/>
    </row>
    <row r="21" spans="2:16" ht="15" hidden="1" customHeight="1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 ht="15" customHeight="1" x14ac:dyDescent="0.3">
      <c r="B22" s="9"/>
      <c r="C22" s="9"/>
      <c r="D22" s="43"/>
      <c r="E22" s="8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3"/>
      <c r="J23" s="3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3"/>
      <c r="J24" s="3"/>
      <c r="K24" s="9"/>
      <c r="L24" s="9"/>
      <c r="M24" s="9"/>
      <c r="N24" s="9"/>
      <c r="O24" s="9"/>
      <c r="P24" s="9"/>
    </row>
    <row r="25" spans="2:16" ht="15" customHeight="1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82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53.140625" customWidth="1"/>
    <col min="3" max="3" width="9" bestFit="1" customWidth="1"/>
    <col min="4" max="4" width="17" bestFit="1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x14ac:dyDescent="0.25">
      <c r="B1" s="15" t="s">
        <v>27</v>
      </c>
      <c r="K1" s="187" t="s">
        <v>139</v>
      </c>
      <c r="L1" s="187"/>
      <c r="M1" s="187"/>
    </row>
    <row r="2" spans="1:16" x14ac:dyDescent="0.25">
      <c r="B2" s="15" t="s">
        <v>134</v>
      </c>
      <c r="G2" s="169">
        <v>41571</v>
      </c>
      <c r="H2" s="169">
        <v>41820</v>
      </c>
      <c r="J2" s="41"/>
      <c r="K2" s="185" t="s">
        <v>129</v>
      </c>
      <c r="L2" s="185"/>
      <c r="M2" s="185"/>
    </row>
    <row r="3" spans="1:16" x14ac:dyDescent="0.25">
      <c r="A3" t="s">
        <v>26</v>
      </c>
      <c r="B3" s="85" t="s">
        <v>90</v>
      </c>
      <c r="C3" s="1"/>
      <c r="D3" s="1"/>
      <c r="E3" s="9"/>
      <c r="F3" s="9"/>
      <c r="G3" s="9"/>
      <c r="H3" s="9"/>
      <c r="I3" s="9"/>
      <c r="J3" s="42"/>
      <c r="K3" s="17"/>
      <c r="L3" s="18"/>
      <c r="M3" s="9"/>
      <c r="N3" s="9"/>
      <c r="O3" s="9"/>
      <c r="P3" s="9"/>
    </row>
    <row r="4" spans="1:16" x14ac:dyDescent="0.25">
      <c r="C4" s="9"/>
      <c r="D4" s="9"/>
      <c r="E4" s="9"/>
      <c r="F4" s="9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9"/>
      <c r="C5" s="9"/>
      <c r="D5" s="9"/>
      <c r="E5" s="9"/>
      <c r="F5" s="9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44" t="s">
        <v>63</v>
      </c>
      <c r="M6" s="45" t="s">
        <v>64</v>
      </c>
      <c r="N6" s="9"/>
      <c r="O6" s="9"/>
      <c r="P6" s="9"/>
    </row>
    <row r="7" spans="1:16" ht="19.5" customHeight="1" x14ac:dyDescent="0.3">
      <c r="B7" s="3" t="s">
        <v>9</v>
      </c>
      <c r="C7" s="5">
        <v>84.027000000000001</v>
      </c>
      <c r="D7" s="3" t="s">
        <v>133</v>
      </c>
      <c r="E7" s="3" t="s">
        <v>7</v>
      </c>
      <c r="F7" s="3" t="s">
        <v>132</v>
      </c>
      <c r="G7" s="47">
        <f>12135.3+50126.56-23616.56</f>
        <v>38645.300000000003</v>
      </c>
      <c r="H7" s="183">
        <f>-0.03</f>
        <v>-0.03</v>
      </c>
      <c r="I7" s="10">
        <f>G7+H7</f>
        <v>38645.270000000004</v>
      </c>
      <c r="J7" s="10"/>
      <c r="K7" s="10">
        <f>12135.3+13252.5+12716.84+540.36</f>
        <v>38645</v>
      </c>
      <c r="L7" s="46">
        <v>0</v>
      </c>
      <c r="M7" s="50">
        <f>K7+L7</f>
        <v>38645</v>
      </c>
      <c r="N7" s="9"/>
      <c r="O7" s="9"/>
      <c r="P7" s="9"/>
    </row>
    <row r="8" spans="1:16" ht="27.6" x14ac:dyDescent="0.3">
      <c r="B8" s="88" t="s">
        <v>136</v>
      </c>
      <c r="C8" s="90">
        <v>84.394999999999996</v>
      </c>
      <c r="D8" s="3" t="s">
        <v>137</v>
      </c>
      <c r="E8" s="3" t="s">
        <v>7</v>
      </c>
      <c r="F8" s="3" t="s">
        <v>138</v>
      </c>
      <c r="G8" s="47">
        <v>226.07</v>
      </c>
      <c r="H8" s="46"/>
      <c r="I8" s="10">
        <f>G8+H8</f>
        <v>226.07</v>
      </c>
      <c r="J8" s="10"/>
      <c r="K8" s="10">
        <v>226.07</v>
      </c>
      <c r="L8" s="46"/>
      <c r="M8" s="50">
        <f>K8+L8</f>
        <v>226.07</v>
      </c>
      <c r="N8" s="9"/>
      <c r="O8" s="9"/>
      <c r="P8" s="9"/>
    </row>
    <row r="9" spans="1:16" ht="14.45" x14ac:dyDescent="0.3">
      <c r="B9" s="88" t="s">
        <v>43</v>
      </c>
      <c r="C9" s="90">
        <v>84.281999999999996</v>
      </c>
      <c r="D9" s="3" t="s">
        <v>174</v>
      </c>
      <c r="E9" s="3" t="s">
        <v>7</v>
      </c>
      <c r="F9" s="3" t="s">
        <v>175</v>
      </c>
      <c r="G9" s="47">
        <v>375000</v>
      </c>
      <c r="H9" s="10">
        <v>72875</v>
      </c>
      <c r="I9" s="10">
        <f>G9+H9</f>
        <v>447875</v>
      </c>
      <c r="J9" s="10"/>
      <c r="K9" s="10">
        <v>72875</v>
      </c>
      <c r="L9" s="46"/>
      <c r="M9" s="50">
        <f>K9+L9</f>
        <v>72875</v>
      </c>
      <c r="N9" s="9"/>
      <c r="O9" s="9"/>
      <c r="P9" s="9"/>
    </row>
    <row r="10" spans="1:16" ht="15" customHeight="1" x14ac:dyDescent="0.3">
      <c r="B10" s="3" t="s">
        <v>208</v>
      </c>
      <c r="C10" s="7">
        <v>84.367000000000004</v>
      </c>
      <c r="D10" s="3" t="s">
        <v>207</v>
      </c>
      <c r="E10" s="3" t="s">
        <v>7</v>
      </c>
      <c r="F10" s="3" t="s">
        <v>132</v>
      </c>
      <c r="G10" s="164">
        <v>2730</v>
      </c>
      <c r="H10" s="180"/>
      <c r="I10" s="163">
        <f>G10+H10</f>
        <v>2730</v>
      </c>
      <c r="J10" s="48"/>
      <c r="K10" s="164">
        <v>2730</v>
      </c>
      <c r="L10" s="96"/>
      <c r="M10" s="165">
        <f>K10+L10</f>
        <v>2730</v>
      </c>
      <c r="N10" s="9"/>
      <c r="O10" s="9"/>
      <c r="P10" s="9"/>
    </row>
    <row r="11" spans="1:16" ht="15" customHeight="1" x14ac:dyDescent="0.3">
      <c r="B11" s="3"/>
      <c r="C11" s="7"/>
      <c r="D11" s="3"/>
      <c r="E11" s="3"/>
      <c r="F11" s="3"/>
      <c r="G11" s="58"/>
      <c r="H11" s="51"/>
      <c r="I11" s="53"/>
      <c r="J11" s="164"/>
      <c r="K11" s="53"/>
      <c r="L11" s="52"/>
      <c r="M11" s="54"/>
      <c r="N11" s="9"/>
      <c r="O11" s="9"/>
      <c r="P11" s="9"/>
    </row>
    <row r="12" spans="1:16" ht="14.45" x14ac:dyDescent="0.3">
      <c r="B12" s="3"/>
      <c r="C12" s="5"/>
      <c r="D12" s="3"/>
      <c r="E12" s="3"/>
      <c r="F12" s="3"/>
      <c r="G12" s="46"/>
      <c r="H12" s="46"/>
      <c r="I12" s="46"/>
      <c r="J12" s="46"/>
      <c r="K12" s="46"/>
      <c r="L12" s="46"/>
      <c r="M12" s="55"/>
      <c r="N12" s="9"/>
      <c r="O12" s="9"/>
      <c r="P12" s="9"/>
    </row>
    <row r="13" spans="1:16" ht="14.45" x14ac:dyDescent="0.3">
      <c r="B13" s="3"/>
      <c r="C13" s="9"/>
      <c r="D13" s="9"/>
      <c r="E13" s="9"/>
      <c r="F13" s="43" t="s">
        <v>70</v>
      </c>
      <c r="G13" s="10">
        <f>SUM(G7:G12)</f>
        <v>416601.37</v>
      </c>
      <c r="H13" s="10">
        <f>SUM(H7:H12)</f>
        <v>72874.97</v>
      </c>
      <c r="I13" s="10">
        <f>SUM(I7:I12)</f>
        <v>489476.34</v>
      </c>
      <c r="J13" s="10"/>
      <c r="K13" s="10">
        <f>SUM(K7:K12)</f>
        <v>114476.07</v>
      </c>
      <c r="L13" s="10">
        <f>SUM(L7:L12)</f>
        <v>0</v>
      </c>
      <c r="M13" s="50">
        <f>SUM(M7:M12)</f>
        <v>114476.07</v>
      </c>
      <c r="N13" s="9"/>
      <c r="O13" s="9"/>
      <c r="P13" s="9"/>
    </row>
    <row r="14" spans="1:16" ht="14.45" x14ac:dyDescent="0.3">
      <c r="B14" s="3"/>
      <c r="C14" s="9"/>
      <c r="D14" s="9"/>
      <c r="E14" s="9"/>
      <c r="F14" s="9"/>
      <c r="G14" s="9"/>
      <c r="H14" s="9"/>
      <c r="I14" s="9"/>
      <c r="J14" s="9"/>
      <c r="K14" s="9"/>
      <c r="L14" s="9"/>
      <c r="M14" s="29"/>
      <c r="N14" s="9"/>
      <c r="O14" s="9"/>
      <c r="P14" s="9"/>
    </row>
    <row r="15" spans="1:16" ht="14.45" x14ac:dyDescent="0.3">
      <c r="B15" s="3"/>
      <c r="C15" s="9"/>
      <c r="D15" s="9"/>
      <c r="E15" s="9"/>
      <c r="F15" s="9"/>
      <c r="G15" s="9"/>
      <c r="H15" s="9"/>
      <c r="I15" s="9"/>
      <c r="J15" s="9"/>
      <c r="K15" s="9"/>
      <c r="L15" s="9"/>
      <c r="M15" s="29"/>
      <c r="N15" s="9"/>
      <c r="O15" s="9"/>
      <c r="P15" s="9"/>
    </row>
    <row r="16" spans="1:16" ht="14.45" x14ac:dyDescent="0.3">
      <c r="B16" s="27"/>
      <c r="C16" s="28"/>
      <c r="D16" s="28"/>
      <c r="E16" s="28"/>
      <c r="F16" s="28"/>
      <c r="G16" s="28"/>
      <c r="H16" s="28"/>
      <c r="I16" s="28"/>
      <c r="J16" s="42"/>
      <c r="K16" s="28"/>
      <c r="L16" s="28"/>
      <c r="M16" s="30"/>
      <c r="N16" s="9"/>
      <c r="O16" s="9"/>
      <c r="P16" s="9"/>
    </row>
    <row r="17" spans="2:16" ht="14.45" x14ac:dyDescent="0.3">
      <c r="B17" s="9"/>
      <c r="C17" s="9"/>
      <c r="D17" s="9"/>
      <c r="E17" s="9"/>
      <c r="F17" s="9"/>
      <c r="G17" s="9"/>
      <c r="H17" s="17"/>
      <c r="I17" s="17"/>
      <c r="J17" s="17"/>
      <c r="K17" s="115"/>
      <c r="L17" s="103"/>
      <c r="M17" s="103"/>
      <c r="N17" s="104"/>
      <c r="O17" s="9"/>
      <c r="P17" s="9"/>
    </row>
    <row r="18" spans="2:16" ht="14.45" x14ac:dyDescent="0.3">
      <c r="B18" s="37" t="s">
        <v>71</v>
      </c>
      <c r="C18" s="8" t="s">
        <v>2</v>
      </c>
      <c r="D18" s="8" t="s">
        <v>65</v>
      </c>
      <c r="E18" s="8" t="s">
        <v>66</v>
      </c>
      <c r="F18" s="8" t="s">
        <v>67</v>
      </c>
      <c r="G18" s="8" t="s">
        <v>68</v>
      </c>
      <c r="H18" s="3"/>
      <c r="K18" s="102" t="s">
        <v>182</v>
      </c>
      <c r="L18" s="103"/>
      <c r="M18" s="103"/>
      <c r="N18" s="104"/>
      <c r="O18" s="9"/>
      <c r="P18" s="9"/>
    </row>
    <row r="19" spans="2:16" ht="14.45" x14ac:dyDescent="0.3">
      <c r="B19" s="31"/>
      <c r="C19" s="16"/>
      <c r="D19" s="16"/>
      <c r="E19" s="3"/>
      <c r="F19" s="3"/>
      <c r="G19" s="3"/>
      <c r="H19" s="3"/>
      <c r="K19" s="104" t="s">
        <v>181</v>
      </c>
      <c r="L19" s="104"/>
      <c r="M19" s="104"/>
      <c r="N19" s="9"/>
      <c r="O19" s="9"/>
      <c r="P19" s="9"/>
    </row>
    <row r="20" spans="2:16" ht="14.45" x14ac:dyDescent="0.3">
      <c r="B20" s="32"/>
      <c r="C20" s="33"/>
      <c r="D20" s="34"/>
      <c r="E20" s="35"/>
      <c r="F20" s="36"/>
      <c r="G20" s="40"/>
      <c r="H20" s="38"/>
      <c r="I20" s="38"/>
      <c r="J20" s="38"/>
      <c r="K20" s="9"/>
      <c r="L20" s="9"/>
      <c r="M20" s="9"/>
      <c r="N20" s="9"/>
      <c r="O20" s="9"/>
      <c r="P20" s="9"/>
    </row>
    <row r="21" spans="2:16" ht="14.45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 x14ac:dyDescent="0.25">
      <c r="B22" s="9"/>
      <c r="C22" s="9"/>
      <c r="D22" s="9"/>
      <c r="E22" s="9"/>
      <c r="F22" s="9"/>
      <c r="G22" s="9"/>
      <c r="H22" s="9"/>
      <c r="I22" s="3"/>
      <c r="J22" s="3"/>
      <c r="K22" s="9"/>
      <c r="L22" s="9"/>
      <c r="M22" s="9"/>
      <c r="N22" s="9"/>
      <c r="O22" s="9"/>
      <c r="P22" s="9"/>
    </row>
    <row r="23" spans="2:16" x14ac:dyDescent="0.25">
      <c r="B23" s="9"/>
      <c r="C23" s="9"/>
      <c r="D23" s="9"/>
      <c r="E23" s="9"/>
      <c r="F23" s="9"/>
      <c r="G23" s="9"/>
      <c r="H23" s="9"/>
      <c r="I23" s="3"/>
      <c r="J23" s="3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82" orientation="landscape" horizontalDpi="1200" verticalDpi="1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opLeftCell="D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75.5703125" customWidth="1"/>
    <col min="3" max="3" width="9" bestFit="1" customWidth="1"/>
    <col min="4" max="4" width="19.140625" customWidth="1"/>
    <col min="5" max="5" width="26.140625" bestFit="1" customWidth="1"/>
    <col min="6" max="6" width="22.5703125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ht="15.75" x14ac:dyDescent="0.25">
      <c r="B1" s="2" t="s">
        <v>36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128</v>
      </c>
      <c r="C3" s="15"/>
      <c r="D3" s="15"/>
      <c r="E3" s="3"/>
      <c r="F3" s="3"/>
      <c r="G3" s="3"/>
      <c r="H3" s="3"/>
      <c r="I3" s="3"/>
      <c r="J3" s="59"/>
      <c r="K3" s="6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82">
        <v>18311.349999999999</v>
      </c>
      <c r="H7" s="82">
        <v>0</v>
      </c>
      <c r="I7" s="48">
        <f>G7+H7</f>
        <v>18311.349999999999</v>
      </c>
      <c r="J7" s="81"/>
      <c r="K7" s="83">
        <f>11802.42+6508.93</f>
        <v>18311.349999999999</v>
      </c>
      <c r="L7" s="48">
        <v>0</v>
      </c>
      <c r="M7" s="50">
        <f>K7+L7</f>
        <v>18311.349999999999</v>
      </c>
      <c r="N7" s="3"/>
      <c r="O7" s="9"/>
      <c r="P7" s="9"/>
    </row>
    <row r="8" spans="1:16" ht="14.45" x14ac:dyDescent="0.3">
      <c r="B8" s="3" t="s">
        <v>9</v>
      </c>
      <c r="C8" s="65">
        <v>84.027000000000001</v>
      </c>
      <c r="D8" s="3" t="s">
        <v>133</v>
      </c>
      <c r="E8" s="3" t="s">
        <v>7</v>
      </c>
      <c r="F8" s="3" t="s">
        <v>132</v>
      </c>
      <c r="G8" s="82">
        <v>54747.49</v>
      </c>
      <c r="H8" s="171">
        <f>K8-G8</f>
        <v>-10850.14</v>
      </c>
      <c r="I8" s="48">
        <f>G8+H8</f>
        <v>43897.35</v>
      </c>
      <c r="J8" s="81"/>
      <c r="K8" s="83">
        <v>43897.35</v>
      </c>
      <c r="L8" s="48">
        <v>0</v>
      </c>
      <c r="M8" s="50">
        <f>K8+L8</f>
        <v>43897.35</v>
      </c>
      <c r="N8" s="3"/>
      <c r="O8" s="9"/>
      <c r="P8" s="9"/>
    </row>
    <row r="9" spans="1:16" ht="14.45" x14ac:dyDescent="0.3">
      <c r="B9" s="3" t="s">
        <v>43</v>
      </c>
      <c r="C9" s="65">
        <v>84.281999999999996</v>
      </c>
      <c r="D9" s="3" t="s">
        <v>51</v>
      </c>
      <c r="E9" s="3" t="s">
        <v>7</v>
      </c>
      <c r="F9" s="3" t="s">
        <v>52</v>
      </c>
      <c r="G9" s="82">
        <v>225000</v>
      </c>
      <c r="H9" s="82">
        <v>0</v>
      </c>
      <c r="I9" s="48">
        <f>G9+H9</f>
        <v>225000</v>
      </c>
      <c r="J9" s="81"/>
      <c r="K9" s="83">
        <v>158847.9</v>
      </c>
      <c r="L9" s="48">
        <v>0</v>
      </c>
      <c r="M9" s="50">
        <f>K9+L9</f>
        <v>158847.9</v>
      </c>
      <c r="N9" s="3"/>
      <c r="O9" s="9"/>
      <c r="P9" s="9"/>
    </row>
    <row r="10" spans="1:16" ht="14.45" x14ac:dyDescent="0.3">
      <c r="B10" s="3"/>
      <c r="C10" s="7"/>
      <c r="D10" s="3"/>
      <c r="E10" s="3"/>
      <c r="F10" s="12"/>
      <c r="G10" s="53"/>
      <c r="H10" s="53"/>
      <c r="I10" s="53"/>
      <c r="J10" s="27"/>
      <c r="K10" s="53"/>
      <c r="L10" s="53"/>
      <c r="M10" s="54"/>
      <c r="N10" s="3"/>
      <c r="O10" s="9"/>
      <c r="P10" s="9"/>
    </row>
    <row r="11" spans="1:16" ht="14.45" x14ac:dyDescent="0.3">
      <c r="B11" s="59"/>
      <c r="C11" s="7"/>
      <c r="D11" s="3"/>
      <c r="E11" s="3"/>
      <c r="F11" s="12"/>
      <c r="G11" s="10"/>
      <c r="H11" s="10"/>
      <c r="I11" s="10"/>
      <c r="J11" s="3"/>
      <c r="K11" s="10"/>
      <c r="L11" s="10"/>
      <c r="M11" s="50"/>
      <c r="N11" s="3"/>
      <c r="O11" s="9"/>
      <c r="P11" s="9"/>
    </row>
    <row r="12" spans="1:16" ht="14.45" x14ac:dyDescent="0.3">
      <c r="B12" s="3"/>
      <c r="C12" s="7"/>
      <c r="D12" s="3"/>
      <c r="E12" s="3"/>
      <c r="F12" s="12"/>
      <c r="G12" s="10">
        <f>SUM(G7:G10)</f>
        <v>298058.83999999997</v>
      </c>
      <c r="H12" s="174">
        <f>SUM(H7:H10)</f>
        <v>-10850.14</v>
      </c>
      <c r="I12" s="10">
        <f>SUM(I7:I10)</f>
        <v>287208.7</v>
      </c>
      <c r="J12" s="59"/>
      <c r="K12" s="10">
        <f>SUM(K7:K10)</f>
        <v>221056.59999999998</v>
      </c>
      <c r="L12" s="10">
        <f>SUM(L7:L10)</f>
        <v>0</v>
      </c>
      <c r="M12" s="50">
        <f>SUM(M7:M10)</f>
        <v>221056.59999999998</v>
      </c>
      <c r="N12" s="3"/>
      <c r="O12" s="9"/>
      <c r="P12" s="9"/>
    </row>
    <row r="13" spans="1:16" ht="14.45" x14ac:dyDescent="0.3">
      <c r="B13" s="3"/>
      <c r="C13" s="7"/>
      <c r="D13" s="3"/>
      <c r="E13" s="3"/>
      <c r="F13" s="12"/>
      <c r="G13" s="10"/>
      <c r="H13" s="10"/>
      <c r="I13" s="10"/>
      <c r="J13" s="3"/>
      <c r="K13" s="10"/>
      <c r="L13" s="10"/>
      <c r="M13" s="50"/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/>
      <c r="H14" s="10"/>
      <c r="I14" s="10"/>
      <c r="J14" s="3"/>
      <c r="K14" s="10"/>
      <c r="L14" s="10"/>
      <c r="M14" s="50"/>
      <c r="N14" s="3"/>
      <c r="O14" s="9"/>
      <c r="P14" s="9"/>
    </row>
    <row r="15" spans="1:16" ht="14.45" x14ac:dyDescent="0.3">
      <c r="B15" s="27"/>
      <c r="C15" s="27"/>
      <c r="D15" s="27"/>
      <c r="E15" s="27"/>
      <c r="F15" s="27"/>
      <c r="G15" s="27"/>
      <c r="H15" s="99"/>
      <c r="I15" s="99"/>
      <c r="J15" s="101"/>
      <c r="K15" s="113"/>
      <c r="L15" s="105"/>
      <c r="M15" s="106"/>
      <c r="N15" s="104"/>
      <c r="O15" s="9"/>
      <c r="P15" s="9"/>
    </row>
    <row r="16" spans="1:16" ht="14.45" x14ac:dyDescent="0.3">
      <c r="B16" s="3"/>
      <c r="C16" s="3"/>
      <c r="D16" s="3"/>
      <c r="E16" s="3"/>
      <c r="F16" s="3"/>
      <c r="G16" s="3"/>
      <c r="H16" s="3"/>
      <c r="I16" s="3"/>
      <c r="J16" s="3"/>
      <c r="K16" s="104"/>
      <c r="L16" s="104"/>
      <c r="M16" s="104"/>
      <c r="N16" s="104"/>
      <c r="O16" s="9"/>
      <c r="P16" s="9"/>
    </row>
    <row r="17" spans="2:16" ht="14.45" x14ac:dyDescent="0.3">
      <c r="B17" s="37" t="s">
        <v>71</v>
      </c>
      <c r="C17" s="8" t="s">
        <v>2</v>
      </c>
      <c r="D17" s="8" t="s">
        <v>65</v>
      </c>
      <c r="E17" s="8" t="s">
        <v>66</v>
      </c>
      <c r="F17" s="8" t="s">
        <v>67</v>
      </c>
      <c r="G17" s="8" t="s">
        <v>68</v>
      </c>
      <c r="H17" s="3"/>
      <c r="I17" s="3"/>
      <c r="J17" s="3"/>
      <c r="K17" s="115" t="s">
        <v>183</v>
      </c>
      <c r="L17" s="102"/>
      <c r="M17" s="102"/>
      <c r="N17" s="3"/>
      <c r="O17" s="9"/>
      <c r="P17" s="9"/>
    </row>
    <row r="18" spans="2:16" ht="14.45" x14ac:dyDescent="0.3">
      <c r="B18" s="32"/>
      <c r="C18" s="33"/>
      <c r="D18" s="76"/>
      <c r="E18" s="35"/>
      <c r="F18" s="36"/>
      <c r="G18" s="40"/>
      <c r="H18" s="38"/>
      <c r="I18" s="38"/>
      <c r="J18" s="38"/>
      <c r="K18" s="104" t="s">
        <v>181</v>
      </c>
      <c r="L18" s="104"/>
      <c r="M18" s="104"/>
      <c r="N18" s="3"/>
      <c r="O18" s="9"/>
      <c r="P18" s="9"/>
    </row>
    <row r="19" spans="2:16" ht="15" customHeight="1" x14ac:dyDescent="0.3">
      <c r="B19" s="32"/>
      <c r="C19" s="33"/>
      <c r="D19" s="76"/>
      <c r="E19" s="35"/>
      <c r="F19" s="68"/>
      <c r="G19" s="63"/>
      <c r="H19" s="77"/>
      <c r="I19" s="41"/>
      <c r="J19" s="38"/>
      <c r="K19" s="9"/>
      <c r="P19" s="9"/>
    </row>
    <row r="20" spans="2:16" ht="14.45" x14ac:dyDescent="0.3">
      <c r="B20" s="71"/>
      <c r="C20" s="75"/>
      <c r="D20" s="76"/>
      <c r="E20" s="73"/>
      <c r="F20" s="68"/>
      <c r="G20" s="63"/>
      <c r="H20" s="79"/>
      <c r="I20" s="3"/>
      <c r="J20" s="3"/>
      <c r="K20" s="9"/>
      <c r="L20" s="9"/>
      <c r="M20" s="9"/>
      <c r="P20" s="9"/>
    </row>
    <row r="21" spans="2:16" ht="14.45" x14ac:dyDescent="0.3">
      <c r="B21" s="71"/>
      <c r="C21" s="75"/>
      <c r="D21" s="76"/>
      <c r="E21" s="73"/>
      <c r="F21" s="68"/>
      <c r="G21" s="63"/>
      <c r="H21" s="79"/>
      <c r="I21" s="3"/>
      <c r="J21" s="3"/>
      <c r="K21" s="9"/>
      <c r="L21" s="9"/>
      <c r="M21" s="9"/>
      <c r="P21" s="9"/>
    </row>
    <row r="22" spans="2:16" ht="16.5" customHeight="1" x14ac:dyDescent="0.3">
      <c r="B22" s="71"/>
      <c r="C22" s="75"/>
      <c r="D22" s="76"/>
      <c r="E22" s="73"/>
      <c r="F22" s="74"/>
      <c r="G22" s="40"/>
      <c r="H22" s="79"/>
      <c r="I22" s="79"/>
      <c r="J22" s="41"/>
      <c r="P22" s="9"/>
    </row>
    <row r="23" spans="2:16" ht="15" hidden="1" customHeight="1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ht="15" customHeight="1" x14ac:dyDescent="0.25">
      <c r="B24" s="9"/>
      <c r="C24" s="9"/>
      <c r="D24" s="43"/>
      <c r="E24" s="8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3"/>
      <c r="J25" s="3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3"/>
      <c r="J26" s="3"/>
      <c r="K26" s="9"/>
      <c r="L26" s="9"/>
      <c r="M26" s="9"/>
      <c r="N26" s="9"/>
      <c r="O26" s="9"/>
      <c r="P26" s="9"/>
    </row>
    <row r="27" spans="2:16" ht="15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73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53.140625" customWidth="1"/>
    <col min="3" max="3" width="9" bestFit="1" customWidth="1"/>
    <col min="4" max="4" width="17" bestFit="1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x14ac:dyDescent="0.25">
      <c r="B1" s="15" t="s">
        <v>19</v>
      </c>
      <c r="K1" s="187" t="s">
        <v>139</v>
      </c>
      <c r="L1" s="187"/>
      <c r="M1" s="187"/>
    </row>
    <row r="2" spans="1:16" x14ac:dyDescent="0.25">
      <c r="B2" s="15" t="s">
        <v>134</v>
      </c>
      <c r="G2" s="169">
        <v>41571</v>
      </c>
      <c r="H2" s="169">
        <v>41820</v>
      </c>
      <c r="J2" s="41"/>
      <c r="K2" s="185" t="s">
        <v>129</v>
      </c>
      <c r="L2" s="185"/>
      <c r="M2" s="185"/>
    </row>
    <row r="3" spans="1:16" x14ac:dyDescent="0.25">
      <c r="A3" t="s">
        <v>26</v>
      </c>
      <c r="B3" s="85" t="s">
        <v>91</v>
      </c>
      <c r="C3" s="1"/>
      <c r="D3" s="1"/>
      <c r="E3" s="9"/>
      <c r="F3" s="9"/>
      <c r="G3" s="9"/>
      <c r="H3" s="9"/>
      <c r="I3" s="9"/>
      <c r="J3" s="42"/>
      <c r="K3" s="17"/>
      <c r="L3" s="18"/>
      <c r="M3" s="9"/>
      <c r="N3" s="9"/>
      <c r="O3" s="9"/>
      <c r="P3" s="9"/>
    </row>
    <row r="4" spans="1:16" x14ac:dyDescent="0.25">
      <c r="C4" s="9"/>
      <c r="D4" s="9"/>
      <c r="E4" s="9"/>
      <c r="F4" s="9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9"/>
      <c r="C5" s="9"/>
      <c r="D5" s="9"/>
      <c r="E5" s="9"/>
      <c r="F5" s="9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44" t="s">
        <v>63</v>
      </c>
      <c r="M6" s="45" t="s">
        <v>64</v>
      </c>
      <c r="N6" s="9"/>
      <c r="O6" s="9"/>
      <c r="P6" s="9"/>
    </row>
    <row r="7" spans="1:16" ht="19.5" customHeight="1" x14ac:dyDescent="0.3">
      <c r="B7" s="3" t="s">
        <v>9</v>
      </c>
      <c r="C7" s="5">
        <v>84.027000000000001</v>
      </c>
      <c r="D7" s="3" t="s">
        <v>133</v>
      </c>
      <c r="E7" s="3" t="s">
        <v>7</v>
      </c>
      <c r="F7" s="3" t="s">
        <v>132</v>
      </c>
      <c r="G7" s="47">
        <f>8587.84+0.16</f>
        <v>8588</v>
      </c>
      <c r="H7" s="183">
        <f>K7-G7</f>
        <v>-1907.1499999999996</v>
      </c>
      <c r="I7" s="10">
        <f>G7+H7</f>
        <v>6680.85</v>
      </c>
      <c r="J7" s="10"/>
      <c r="K7" s="47">
        <v>6680.85</v>
      </c>
      <c r="L7" s="46">
        <v>0</v>
      </c>
      <c r="M7" s="50">
        <f>K7+L7</f>
        <v>6680.85</v>
      </c>
      <c r="N7" s="9"/>
      <c r="O7" s="9"/>
      <c r="P7" s="9"/>
    </row>
    <row r="8" spans="1:16" ht="27.6" x14ac:dyDescent="0.3">
      <c r="B8" s="88" t="s">
        <v>136</v>
      </c>
      <c r="C8" s="89">
        <v>84.394999999999996</v>
      </c>
      <c r="D8" s="89" t="s">
        <v>137</v>
      </c>
      <c r="E8" s="90" t="s">
        <v>7</v>
      </c>
      <c r="F8" s="90" t="s">
        <v>138</v>
      </c>
      <c r="G8" s="95">
        <v>452.13</v>
      </c>
      <c r="H8" s="96"/>
      <c r="I8" s="10">
        <f>G8+H8</f>
        <v>452.13</v>
      </c>
      <c r="J8" s="48"/>
      <c r="K8" s="48">
        <v>452.13</v>
      </c>
      <c r="L8" s="46">
        <v>0</v>
      </c>
      <c r="M8" s="50">
        <f>K8+L8</f>
        <v>452.13</v>
      </c>
      <c r="N8" s="9"/>
      <c r="O8" s="9"/>
      <c r="P8" s="9"/>
    </row>
    <row r="9" spans="1:16" ht="14.45" x14ac:dyDescent="0.3">
      <c r="B9" s="88"/>
      <c r="C9" s="89"/>
      <c r="D9" s="89"/>
      <c r="E9" s="90"/>
      <c r="F9" s="90"/>
      <c r="G9" s="94"/>
      <c r="H9" s="52"/>
      <c r="I9" s="53"/>
      <c r="J9" s="48"/>
      <c r="K9" s="53"/>
      <c r="L9" s="52"/>
      <c r="M9" s="54"/>
      <c r="N9" s="9"/>
      <c r="O9" s="9"/>
      <c r="P9" s="9"/>
    </row>
    <row r="10" spans="1:16" ht="14.45" x14ac:dyDescent="0.3">
      <c r="B10" s="3"/>
      <c r="C10" s="5"/>
      <c r="D10" s="3"/>
      <c r="E10" s="3"/>
      <c r="F10" s="3"/>
      <c r="G10" s="47"/>
      <c r="H10" s="46"/>
      <c r="I10" s="10"/>
      <c r="J10" s="10"/>
      <c r="K10" s="10"/>
      <c r="L10" s="46"/>
      <c r="M10" s="50"/>
      <c r="N10" s="9"/>
      <c r="O10" s="9"/>
      <c r="P10" s="9"/>
    </row>
    <row r="11" spans="1:16" ht="14.45" x14ac:dyDescent="0.3">
      <c r="B11" s="3"/>
      <c r="C11" s="9"/>
      <c r="D11" s="9"/>
      <c r="E11" s="9"/>
      <c r="F11" s="43" t="s">
        <v>70</v>
      </c>
      <c r="G11" s="10">
        <f>SUM(G5:G8)</f>
        <v>9040.1299999999992</v>
      </c>
      <c r="H11" s="174">
        <f t="shared" ref="H11:I11" si="0">SUM(H5:H8)</f>
        <v>-1907.1499999999996</v>
      </c>
      <c r="I11" s="10">
        <f t="shared" si="0"/>
        <v>7132.9800000000005</v>
      </c>
      <c r="J11" s="10"/>
      <c r="K11" s="10">
        <f>SUM(K5:K8)</f>
        <v>7132.9800000000005</v>
      </c>
      <c r="L11" s="10">
        <f>SUM(L5:L8)</f>
        <v>0</v>
      </c>
      <c r="M11" s="50">
        <f>SUM(M5:M8)</f>
        <v>7132.9800000000005</v>
      </c>
      <c r="N11" s="9"/>
      <c r="O11" s="9"/>
      <c r="P11" s="9"/>
    </row>
    <row r="12" spans="1:16" ht="14.45" x14ac:dyDescent="0.3">
      <c r="B12" s="3"/>
      <c r="C12" s="9"/>
      <c r="D12" s="9"/>
      <c r="E12" s="9"/>
      <c r="F12" s="43"/>
      <c r="G12" s="46"/>
      <c r="H12" s="46"/>
      <c r="I12" s="46"/>
      <c r="J12" s="46"/>
      <c r="K12" s="46"/>
      <c r="L12" s="46"/>
      <c r="M12" s="55"/>
      <c r="N12" s="9"/>
      <c r="O12" s="9"/>
      <c r="P12" s="9"/>
    </row>
    <row r="13" spans="1:16" ht="14.45" x14ac:dyDescent="0.3">
      <c r="B13" s="3"/>
      <c r="C13" s="9"/>
      <c r="D13" s="9"/>
      <c r="E13" s="9"/>
      <c r="F13" s="43"/>
      <c r="G13" s="46"/>
      <c r="H13" s="46"/>
      <c r="I13" s="46"/>
      <c r="J13" s="46"/>
      <c r="K13" s="46"/>
      <c r="L13" s="46"/>
      <c r="M13" s="55"/>
      <c r="N13" s="9"/>
      <c r="O13" s="9"/>
      <c r="P13" s="9"/>
    </row>
    <row r="14" spans="1:16" ht="14.45" x14ac:dyDescent="0.3">
      <c r="B14" s="27"/>
      <c r="C14" s="28"/>
      <c r="D14" s="28"/>
      <c r="E14" s="28"/>
      <c r="F14" s="28"/>
      <c r="G14" s="28"/>
      <c r="H14" s="28"/>
      <c r="I14" s="28"/>
      <c r="J14" s="42"/>
      <c r="K14" s="28"/>
      <c r="L14" s="28"/>
      <c r="M14" s="30"/>
      <c r="N14" s="9"/>
      <c r="O14" s="9"/>
      <c r="P14" s="9"/>
    </row>
    <row r="15" spans="1:16" ht="14.45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8"/>
      <c r="J16" s="98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1"/>
      <c r="C17" s="16"/>
      <c r="D17" s="16"/>
      <c r="E17" s="3"/>
      <c r="F17" s="3"/>
      <c r="G17" s="3"/>
      <c r="H17" s="3"/>
      <c r="K17" s="104" t="s">
        <v>181</v>
      </c>
      <c r="L17" s="104"/>
      <c r="M17" s="104"/>
      <c r="N17" s="104"/>
      <c r="O17" s="9"/>
      <c r="P17" s="9"/>
    </row>
    <row r="18" spans="2:16" ht="14.45" x14ac:dyDescent="0.3">
      <c r="B18" s="32"/>
      <c r="C18" s="33"/>
      <c r="D18" s="34"/>
      <c r="E18" s="35"/>
      <c r="F18" s="36"/>
      <c r="G18" s="40"/>
      <c r="H18" s="38"/>
      <c r="I18" s="38"/>
      <c r="J18" s="38"/>
      <c r="K18" s="9"/>
      <c r="L18" s="9"/>
      <c r="M18" s="9"/>
      <c r="N18" s="9"/>
      <c r="O18" s="9"/>
      <c r="P18" s="9"/>
    </row>
    <row r="19" spans="2:16" ht="14.45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ht="14.45" x14ac:dyDescent="0.3">
      <c r="B20" s="9"/>
      <c r="C20" s="9"/>
      <c r="D20" s="9"/>
      <c r="E20" s="9"/>
      <c r="F20" s="9"/>
      <c r="G20" s="9"/>
      <c r="H20" s="9"/>
      <c r="I20" s="3"/>
      <c r="J20" s="3"/>
      <c r="K20" s="9"/>
      <c r="L20" s="9"/>
      <c r="M20" s="9"/>
      <c r="N20" s="9"/>
      <c r="O20" s="9"/>
      <c r="P20" s="9"/>
    </row>
    <row r="21" spans="2:16" ht="14.45" x14ac:dyDescent="0.3">
      <c r="B21" s="9"/>
      <c r="C21" s="9"/>
      <c r="D21" s="9"/>
      <c r="E21" s="9"/>
      <c r="F21" s="9"/>
      <c r="G21" s="9"/>
      <c r="H21" s="9"/>
      <c r="I21" s="3"/>
      <c r="J21" s="3"/>
      <c r="K21" s="9"/>
      <c r="L21" s="9"/>
      <c r="M21" s="9"/>
      <c r="N21" s="9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x14ac:dyDescent="0.2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82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53.140625" customWidth="1"/>
    <col min="3" max="3" width="9" bestFit="1" customWidth="1"/>
    <col min="4" max="4" width="17" bestFit="1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x14ac:dyDescent="0.25">
      <c r="B1" s="15" t="s">
        <v>20</v>
      </c>
      <c r="K1" s="187" t="s">
        <v>139</v>
      </c>
      <c r="L1" s="187"/>
      <c r="M1" s="187"/>
    </row>
    <row r="2" spans="1:16" x14ac:dyDescent="0.25">
      <c r="B2" s="15" t="s">
        <v>134</v>
      </c>
      <c r="G2" s="169">
        <v>41571</v>
      </c>
      <c r="H2" s="169">
        <v>41820</v>
      </c>
      <c r="J2" s="41"/>
      <c r="K2" s="185" t="s">
        <v>129</v>
      </c>
      <c r="L2" s="185"/>
      <c r="M2" s="185"/>
    </row>
    <row r="3" spans="1:16" x14ac:dyDescent="0.25">
      <c r="A3" t="s">
        <v>26</v>
      </c>
      <c r="B3" s="85" t="s">
        <v>92</v>
      </c>
      <c r="C3" s="1"/>
      <c r="D3" s="1"/>
      <c r="E3" s="9"/>
      <c r="F3" s="9"/>
      <c r="G3" s="9"/>
      <c r="H3" s="9"/>
      <c r="I3" s="9"/>
      <c r="J3" s="42"/>
      <c r="K3" s="17"/>
      <c r="L3" s="18"/>
      <c r="M3" s="9"/>
      <c r="N3" s="9"/>
      <c r="O3" s="9"/>
      <c r="P3" s="9"/>
    </row>
    <row r="4" spans="1:16" x14ac:dyDescent="0.25">
      <c r="C4" s="9"/>
      <c r="D4" s="9"/>
      <c r="E4" s="9"/>
      <c r="F4" s="9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9"/>
      <c r="C5" s="9"/>
      <c r="D5" s="9"/>
      <c r="E5" s="9"/>
      <c r="F5" s="9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44" t="s">
        <v>63</v>
      </c>
      <c r="M6" s="45" t="s">
        <v>64</v>
      </c>
      <c r="N6" s="9"/>
      <c r="O6" s="9"/>
      <c r="P6" s="9"/>
    </row>
    <row r="7" spans="1:16" x14ac:dyDescent="0.25">
      <c r="B7" s="3" t="s">
        <v>9</v>
      </c>
      <c r="C7" s="5">
        <v>84.027000000000001</v>
      </c>
      <c r="D7" s="3" t="s">
        <v>133</v>
      </c>
      <c r="E7" s="3" t="s">
        <v>7</v>
      </c>
      <c r="F7" s="3" t="s">
        <v>132</v>
      </c>
      <c r="G7" s="157">
        <v>19757.38</v>
      </c>
      <c r="H7" s="156">
        <f>48945.36-0.74</f>
        <v>48944.62</v>
      </c>
      <c r="I7" s="10">
        <f>G7+H7</f>
        <v>68702</v>
      </c>
      <c r="J7" s="10"/>
      <c r="K7" s="10">
        <f>19757.38+23848.5+16550.32+8545.8</f>
        <v>68702</v>
      </c>
      <c r="L7" s="46">
        <v>0</v>
      </c>
      <c r="M7" s="50">
        <f>K7+L7</f>
        <v>68702</v>
      </c>
      <c r="N7" s="9"/>
      <c r="O7" s="9"/>
      <c r="P7" s="9"/>
    </row>
    <row r="8" spans="1:16" ht="14.45" x14ac:dyDescent="0.3">
      <c r="B8" s="3"/>
      <c r="C8" s="5"/>
      <c r="D8" s="3"/>
      <c r="E8" s="3"/>
      <c r="F8" s="3"/>
      <c r="G8" s="51"/>
      <c r="H8" s="52"/>
      <c r="I8" s="53">
        <f>G8+H8</f>
        <v>0</v>
      </c>
      <c r="J8" s="48"/>
      <c r="K8" s="53"/>
      <c r="L8" s="52"/>
      <c r="M8" s="54"/>
      <c r="N8" s="9"/>
      <c r="O8" s="9"/>
      <c r="P8" s="9"/>
    </row>
    <row r="9" spans="1:16" ht="14.45" x14ac:dyDescent="0.3">
      <c r="B9" s="3"/>
      <c r="C9" s="9"/>
      <c r="D9" s="9"/>
      <c r="E9" s="9"/>
      <c r="F9" s="9"/>
      <c r="G9" s="9"/>
      <c r="H9" s="9"/>
      <c r="I9" s="9"/>
      <c r="J9" s="42"/>
      <c r="K9" s="9"/>
      <c r="L9" s="9"/>
      <c r="M9" s="29"/>
      <c r="N9" s="9"/>
      <c r="O9" s="9"/>
      <c r="P9" s="9"/>
    </row>
    <row r="10" spans="1:16" ht="14.45" x14ac:dyDescent="0.3">
      <c r="B10" s="3"/>
      <c r="C10" s="9"/>
      <c r="D10" s="9"/>
      <c r="E10" s="9"/>
      <c r="F10" s="43" t="s">
        <v>70</v>
      </c>
      <c r="G10" s="10">
        <f>SUM(G6:G9)</f>
        <v>19757.38</v>
      </c>
      <c r="H10" s="10">
        <f t="shared" ref="H10:I10" si="0">SUM(H6:H9)</f>
        <v>48944.62</v>
      </c>
      <c r="I10" s="10">
        <f t="shared" si="0"/>
        <v>68702</v>
      </c>
      <c r="J10" s="3"/>
      <c r="K10" s="10">
        <f>SUM(K6:K9)</f>
        <v>68702</v>
      </c>
      <c r="L10" s="10">
        <f>SUM(L6:L9)</f>
        <v>0</v>
      </c>
      <c r="M10" s="50">
        <f>SUM(M6:M9)</f>
        <v>68702</v>
      </c>
      <c r="N10" s="9"/>
      <c r="O10" s="9"/>
      <c r="P10" s="9"/>
    </row>
    <row r="11" spans="1:16" ht="14.45" x14ac:dyDescent="0.3">
      <c r="B11" s="3"/>
      <c r="C11" s="9"/>
      <c r="D11" s="9"/>
      <c r="E11" s="9"/>
      <c r="F11" s="9"/>
      <c r="G11" s="9"/>
      <c r="H11" s="9"/>
      <c r="I11" s="9"/>
      <c r="J11" s="9"/>
      <c r="K11" s="9"/>
      <c r="L11" s="9"/>
      <c r="M11" s="29"/>
      <c r="N11" s="9"/>
      <c r="O11" s="9"/>
      <c r="P11" s="9"/>
    </row>
    <row r="12" spans="1:16" ht="14.45" x14ac:dyDescent="0.3">
      <c r="B12" s="3"/>
      <c r="C12" s="9"/>
      <c r="D12" s="9"/>
      <c r="E12" s="9"/>
      <c r="F12" s="9"/>
      <c r="G12" s="9"/>
      <c r="H12" s="9"/>
      <c r="I12" s="9"/>
      <c r="J12" s="9"/>
      <c r="K12" s="9"/>
      <c r="L12" s="9"/>
      <c r="M12" s="29"/>
      <c r="N12" s="9"/>
      <c r="O12" s="9"/>
      <c r="P12" s="9"/>
    </row>
    <row r="13" spans="1:16" ht="14.45" x14ac:dyDescent="0.3">
      <c r="B13" s="27"/>
      <c r="C13" s="28"/>
      <c r="D13" s="28"/>
      <c r="E13" s="28"/>
      <c r="F13" s="28"/>
      <c r="G13" s="28"/>
      <c r="H13" s="28"/>
      <c r="I13" s="28"/>
      <c r="J13" s="42"/>
      <c r="K13" s="28"/>
      <c r="L13" s="28"/>
      <c r="M13" s="30"/>
      <c r="N13" s="9"/>
      <c r="O13" s="9"/>
      <c r="P13" s="9"/>
    </row>
    <row r="14" spans="1:16" ht="14.45" x14ac:dyDescent="0.3">
      <c r="B14" s="9"/>
      <c r="C14" s="9"/>
      <c r="D14" s="9"/>
      <c r="E14" s="9"/>
      <c r="F14" s="9"/>
      <c r="G14" s="9"/>
      <c r="H14" s="9"/>
      <c r="I14" s="9"/>
      <c r="J14" s="42"/>
      <c r="K14" s="9"/>
      <c r="L14" s="9"/>
      <c r="M14" s="9"/>
      <c r="N14" s="9"/>
      <c r="O14" s="9"/>
      <c r="P14" s="9"/>
    </row>
    <row r="15" spans="1:16" ht="14.45" x14ac:dyDescent="0.3">
      <c r="B15" s="37" t="s">
        <v>71</v>
      </c>
      <c r="C15" s="8" t="s">
        <v>2</v>
      </c>
      <c r="D15" s="8" t="s">
        <v>65</v>
      </c>
      <c r="E15" s="8" t="s">
        <v>66</v>
      </c>
      <c r="F15" s="8" t="s">
        <v>67</v>
      </c>
      <c r="G15" s="8" t="s">
        <v>68</v>
      </c>
      <c r="H15" s="3"/>
      <c r="K15" s="114" t="s">
        <v>183</v>
      </c>
      <c r="L15" s="104"/>
      <c r="M15" s="104"/>
      <c r="N15" s="9"/>
      <c r="O15" s="9"/>
      <c r="P15" s="9"/>
    </row>
    <row r="16" spans="1:16" ht="14.45" x14ac:dyDescent="0.3">
      <c r="B16" s="31"/>
      <c r="C16" s="16"/>
      <c r="D16" s="16"/>
      <c r="E16" s="3"/>
      <c r="F16" s="3"/>
      <c r="G16" s="3"/>
      <c r="H16" s="90"/>
      <c r="I16" s="98"/>
      <c r="J16" s="98"/>
      <c r="K16" s="104" t="s">
        <v>181</v>
      </c>
      <c r="L16" s="104"/>
      <c r="M16" s="104"/>
      <c r="N16" s="104"/>
      <c r="O16" s="9"/>
      <c r="P16" s="9"/>
    </row>
    <row r="17" spans="2:16" ht="14.45" x14ac:dyDescent="0.3">
      <c r="B17" s="32"/>
      <c r="C17" s="33"/>
      <c r="D17" s="34"/>
      <c r="E17" s="35"/>
      <c r="F17" s="36"/>
      <c r="G17" s="40"/>
      <c r="H17" s="38"/>
      <c r="I17" s="38"/>
      <c r="J17" s="38"/>
      <c r="K17" s="104"/>
      <c r="L17" s="104"/>
      <c r="M17" s="104"/>
      <c r="N17" s="104"/>
      <c r="O17" s="9"/>
      <c r="P17" s="9"/>
    </row>
    <row r="18" spans="2:16" ht="14.45" x14ac:dyDescent="0.3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ht="14.45" x14ac:dyDescent="0.3">
      <c r="B19" s="9"/>
      <c r="C19" s="9"/>
      <c r="D19" s="9"/>
      <c r="E19" s="9"/>
      <c r="F19" s="9"/>
      <c r="G19" s="9"/>
      <c r="H19" s="9"/>
      <c r="I19" s="3"/>
      <c r="J19" s="3"/>
      <c r="K19" s="9"/>
      <c r="L19" s="9"/>
      <c r="M19" s="9"/>
      <c r="N19" s="9"/>
      <c r="O19" s="9"/>
      <c r="P19" s="9"/>
    </row>
    <row r="20" spans="2:16" ht="14.45" x14ac:dyDescent="0.3">
      <c r="B20" s="9"/>
      <c r="C20" s="9"/>
      <c r="D20" s="9"/>
      <c r="E20" s="9"/>
      <c r="F20" s="9"/>
      <c r="G20" s="9"/>
      <c r="H20" s="9"/>
      <c r="I20" s="3"/>
      <c r="J20" s="3"/>
      <c r="K20" s="9"/>
      <c r="L20" s="9"/>
      <c r="M20" s="9"/>
      <c r="N20" s="9"/>
      <c r="O20" s="9"/>
      <c r="P20" s="9"/>
    </row>
    <row r="21" spans="2:16" ht="14.45" x14ac:dyDescent="0.3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8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B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61.42578125" customWidth="1"/>
    <col min="3" max="3" width="9" bestFit="1" customWidth="1"/>
    <col min="4" max="4" width="17" bestFit="1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.7109375" customWidth="1"/>
    <col min="12" max="12" width="14.140625" customWidth="1"/>
    <col min="13" max="13" width="13.140625" customWidth="1"/>
  </cols>
  <sheetData>
    <row r="1" spans="1:16" x14ac:dyDescent="0.25">
      <c r="B1" s="15" t="s">
        <v>11</v>
      </c>
      <c r="C1" s="3"/>
      <c r="D1" s="3"/>
      <c r="E1" s="3"/>
      <c r="F1" s="3"/>
      <c r="G1" s="3"/>
      <c r="H1" s="3"/>
      <c r="I1" s="3"/>
      <c r="J1" s="3"/>
      <c r="K1" s="187" t="s">
        <v>139</v>
      </c>
      <c r="L1" s="187"/>
      <c r="M1" s="187"/>
      <c r="N1" s="3"/>
    </row>
    <row r="2" spans="1:16" x14ac:dyDescent="0.25">
      <c r="B2" s="15" t="s">
        <v>134</v>
      </c>
      <c r="C2" s="3"/>
      <c r="D2" s="3"/>
      <c r="E2" s="3"/>
      <c r="F2" s="3"/>
      <c r="G2" s="169">
        <v>41571</v>
      </c>
      <c r="H2" s="169">
        <v>41820</v>
      </c>
      <c r="I2" s="3"/>
      <c r="J2" s="59"/>
      <c r="K2" s="185" t="s">
        <v>129</v>
      </c>
      <c r="L2" s="185"/>
      <c r="M2" s="185"/>
      <c r="N2" s="3"/>
    </row>
    <row r="3" spans="1:16" x14ac:dyDescent="0.25">
      <c r="A3" t="s">
        <v>26</v>
      </c>
      <c r="B3" s="85" t="s">
        <v>93</v>
      </c>
      <c r="C3" s="15"/>
      <c r="D3" s="15"/>
      <c r="E3" s="3"/>
      <c r="F3" s="3"/>
      <c r="G3" s="3"/>
      <c r="H3" s="3"/>
      <c r="I3" s="3"/>
      <c r="J3" s="59"/>
      <c r="K3" s="5"/>
      <c r="L3" s="60"/>
      <c r="M3" s="3"/>
      <c r="N3" s="3"/>
      <c r="O3" s="9"/>
      <c r="P3" s="9"/>
    </row>
    <row r="4" spans="1:16" x14ac:dyDescent="0.25">
      <c r="B4" s="3"/>
      <c r="C4" s="3"/>
      <c r="D4" s="3"/>
      <c r="E4" s="3"/>
      <c r="F4" s="3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3"/>
      <c r="C5" s="3"/>
      <c r="D5" s="3"/>
      <c r="E5" s="3"/>
      <c r="F5" s="3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61" t="s">
        <v>63</v>
      </c>
      <c r="M6" s="62" t="s">
        <v>64</v>
      </c>
      <c r="N6" s="3"/>
      <c r="O6" s="9"/>
      <c r="P6" s="9"/>
    </row>
    <row r="7" spans="1:16" x14ac:dyDescent="0.25"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7">
        <v>237063.92</v>
      </c>
      <c r="H7" s="10">
        <f>SUM(H4:H6)</f>
        <v>0</v>
      </c>
      <c r="I7" s="10">
        <f>G7+H7</f>
        <v>237063.92</v>
      </c>
      <c r="J7" s="10"/>
      <c r="K7" s="10">
        <f>25453.59+29445.63+24128.07+134785.63+18278.26</f>
        <v>232091.18000000002</v>
      </c>
      <c r="L7" s="10"/>
      <c r="M7" s="50">
        <f>K7+L7</f>
        <v>232091.18000000002</v>
      </c>
      <c r="N7" s="3"/>
      <c r="O7" s="9"/>
      <c r="P7" s="9"/>
    </row>
    <row r="8" spans="1:16" ht="14.45" x14ac:dyDescent="0.3">
      <c r="B8" s="3" t="s">
        <v>9</v>
      </c>
      <c r="C8" s="5">
        <v>84.027000000000001</v>
      </c>
      <c r="D8" s="3" t="s">
        <v>133</v>
      </c>
      <c r="E8" s="3" t="s">
        <v>7</v>
      </c>
      <c r="F8" s="3" t="s">
        <v>132</v>
      </c>
      <c r="G8" s="159">
        <v>13844.26</v>
      </c>
      <c r="H8" s="158">
        <v>75254.740000000005</v>
      </c>
      <c r="I8" s="10">
        <f>G8+H8</f>
        <v>89099</v>
      </c>
      <c r="J8" s="10"/>
      <c r="K8" s="10">
        <f>13844.26+31990.32+23641.86+19622.56</f>
        <v>89099</v>
      </c>
      <c r="L8" s="10">
        <v>0</v>
      </c>
      <c r="M8" s="50">
        <f t="shared" ref="M8:M10" si="0">K8+L8</f>
        <v>89099</v>
      </c>
      <c r="N8" s="3"/>
      <c r="O8" s="9"/>
      <c r="P8" s="9"/>
    </row>
    <row r="9" spans="1:16" ht="15" customHeight="1" x14ac:dyDescent="0.3">
      <c r="B9" s="3" t="s">
        <v>141</v>
      </c>
      <c r="C9" s="7">
        <v>84.01</v>
      </c>
      <c r="D9" s="3" t="s">
        <v>142</v>
      </c>
      <c r="E9" s="3" t="s">
        <v>7</v>
      </c>
      <c r="F9" s="3" t="s">
        <v>143</v>
      </c>
      <c r="G9" s="91">
        <v>12129.03</v>
      </c>
      <c r="H9" s="91">
        <v>0</v>
      </c>
      <c r="I9" s="91">
        <f>G9-H9</f>
        <v>12129.03</v>
      </c>
      <c r="J9" s="81"/>
      <c r="K9" s="92">
        <f>4617.28+7511.75</f>
        <v>12129.029999999999</v>
      </c>
      <c r="L9" s="92">
        <v>0</v>
      </c>
      <c r="M9" s="93">
        <f t="shared" si="0"/>
        <v>12129.029999999999</v>
      </c>
      <c r="N9" s="3"/>
      <c r="O9" s="9"/>
      <c r="P9" s="9"/>
    </row>
    <row r="10" spans="1:16" ht="15" customHeight="1" x14ac:dyDescent="0.3">
      <c r="B10" s="3" t="s">
        <v>208</v>
      </c>
      <c r="C10" s="7">
        <v>84.367000000000004</v>
      </c>
      <c r="D10" s="3" t="s">
        <v>207</v>
      </c>
      <c r="E10" s="3" t="s">
        <v>7</v>
      </c>
      <c r="F10" s="3" t="s">
        <v>132</v>
      </c>
      <c r="G10" s="91">
        <v>25641.65</v>
      </c>
      <c r="H10" s="91"/>
      <c r="I10" s="91">
        <f>G10-H10</f>
        <v>25641.65</v>
      </c>
      <c r="J10" s="81"/>
      <c r="K10" s="92">
        <v>25641.65</v>
      </c>
      <c r="L10" s="92"/>
      <c r="M10" s="93">
        <f t="shared" si="0"/>
        <v>25641.65</v>
      </c>
      <c r="N10" s="3"/>
      <c r="O10" s="9"/>
      <c r="P10" s="9"/>
    </row>
    <row r="11" spans="1:16" ht="14.45" x14ac:dyDescent="0.3">
      <c r="B11" s="3"/>
      <c r="C11" s="7"/>
      <c r="D11" s="3"/>
      <c r="E11" s="3"/>
      <c r="F11" s="3"/>
      <c r="G11" s="27"/>
      <c r="H11" s="27"/>
      <c r="I11" s="27"/>
      <c r="J11" s="27"/>
      <c r="K11" s="27"/>
      <c r="L11" s="27"/>
      <c r="M11" s="57"/>
      <c r="N11" s="3"/>
      <c r="O11" s="9"/>
      <c r="P11" s="9"/>
    </row>
    <row r="12" spans="1:16" ht="14.45" x14ac:dyDescent="0.3">
      <c r="B12" s="3"/>
      <c r="C12" s="7"/>
      <c r="D12" s="3"/>
      <c r="E12" s="3"/>
      <c r="F12" s="3"/>
      <c r="G12" s="59"/>
      <c r="H12" s="59"/>
      <c r="I12" s="59"/>
      <c r="J12" s="59"/>
      <c r="K12" s="59"/>
      <c r="L12" s="59"/>
      <c r="M12" s="56"/>
      <c r="N12" s="3"/>
      <c r="O12" s="9"/>
      <c r="P12" s="9"/>
    </row>
    <row r="13" spans="1:16" ht="14.45" x14ac:dyDescent="0.3">
      <c r="B13" s="3"/>
      <c r="C13" s="7"/>
      <c r="D13" s="3"/>
      <c r="E13" s="3"/>
      <c r="F13" s="12" t="s">
        <v>70</v>
      </c>
      <c r="G13" s="10">
        <f>SUM(G7:G11)</f>
        <v>288678.86000000004</v>
      </c>
      <c r="H13" s="10">
        <f>SUM(H7:H11)</f>
        <v>75254.740000000005</v>
      </c>
      <c r="I13" s="10">
        <f>SUM(I7:I11)</f>
        <v>363933.60000000009</v>
      </c>
      <c r="J13" s="3"/>
      <c r="K13" s="10">
        <f>SUM(K7:K11)</f>
        <v>358960.8600000001</v>
      </c>
      <c r="L13" s="10">
        <f>SUM(L7:L11)</f>
        <v>0</v>
      </c>
      <c r="M13" s="50">
        <f>SUM(M7:M11)</f>
        <v>358960.8600000001</v>
      </c>
      <c r="N13" s="3"/>
      <c r="O13" s="9"/>
      <c r="P13" s="9"/>
    </row>
    <row r="14" spans="1:16" ht="14.45" x14ac:dyDescent="0.3">
      <c r="B14" s="3"/>
      <c r="C14" s="7"/>
      <c r="D14" s="3"/>
      <c r="E14" s="3"/>
      <c r="F14" s="12"/>
      <c r="G14" s="10"/>
      <c r="H14" s="10"/>
      <c r="I14" s="10"/>
      <c r="J14" s="3"/>
      <c r="K14" s="10"/>
      <c r="L14" s="10"/>
      <c r="M14" s="50"/>
      <c r="N14" s="3"/>
      <c r="O14" s="9"/>
      <c r="P14" s="9"/>
    </row>
    <row r="15" spans="1:16" ht="14.45" x14ac:dyDescent="0.3">
      <c r="B15" s="3"/>
      <c r="C15" s="7"/>
      <c r="D15" s="3"/>
      <c r="E15" s="3"/>
      <c r="F15" s="12"/>
      <c r="G15" s="10"/>
      <c r="H15" s="10"/>
      <c r="I15" s="10"/>
      <c r="J15" s="59"/>
      <c r="K15" s="10"/>
      <c r="L15" s="10"/>
      <c r="M15" s="50"/>
      <c r="N15" s="3"/>
      <c r="O15" s="9"/>
      <c r="P15" s="9"/>
    </row>
    <row r="16" spans="1:16" ht="14.45" x14ac:dyDescent="0.3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57"/>
      <c r="N16" s="3"/>
      <c r="O16" s="9"/>
      <c r="P16" s="9"/>
    </row>
    <row r="17" spans="2:16" ht="14.45" x14ac:dyDescent="0.3">
      <c r="B17" s="3"/>
      <c r="C17" s="3"/>
      <c r="D17" s="3"/>
      <c r="E17" s="3"/>
      <c r="F17" s="3"/>
      <c r="G17" s="3"/>
      <c r="H17" s="90"/>
      <c r="I17" s="90"/>
      <c r="J17" s="90"/>
      <c r="K17" s="115"/>
      <c r="L17" s="103"/>
      <c r="M17" s="103"/>
      <c r="N17" s="104"/>
      <c r="O17" s="9"/>
      <c r="P17" s="9"/>
    </row>
    <row r="18" spans="2:16" ht="14.45" x14ac:dyDescent="0.3">
      <c r="B18" s="37" t="s">
        <v>71</v>
      </c>
      <c r="C18" s="8" t="s">
        <v>2</v>
      </c>
      <c r="D18" s="8" t="s">
        <v>65</v>
      </c>
      <c r="E18" s="8" t="s">
        <v>66</v>
      </c>
      <c r="F18" s="8" t="s">
        <v>67</v>
      </c>
      <c r="G18" s="8" t="s">
        <v>68</v>
      </c>
      <c r="H18" s="3"/>
      <c r="I18" s="3"/>
      <c r="J18" s="3"/>
      <c r="K18" s="115" t="s">
        <v>183</v>
      </c>
      <c r="L18" s="103"/>
      <c r="M18" s="103"/>
      <c r="N18" s="104"/>
      <c r="O18" s="9"/>
      <c r="P18" s="9"/>
    </row>
    <row r="19" spans="2:16" ht="14.45" x14ac:dyDescent="0.3">
      <c r="B19" s="31"/>
      <c r="C19" s="16"/>
      <c r="D19" s="16"/>
      <c r="E19" s="3"/>
      <c r="F19" s="3"/>
      <c r="G19" s="3"/>
      <c r="H19" s="3"/>
      <c r="I19" s="3"/>
      <c r="J19" s="3"/>
      <c r="K19" s="104" t="s">
        <v>181</v>
      </c>
      <c r="L19" s="104"/>
      <c r="M19" s="104"/>
      <c r="N19" s="3"/>
      <c r="O19" s="9"/>
      <c r="P19" s="9"/>
    </row>
    <row r="20" spans="2:16" ht="14.45" x14ac:dyDescent="0.3">
      <c r="B20" s="32"/>
      <c r="C20" s="33"/>
      <c r="D20" s="76"/>
      <c r="E20" s="35"/>
      <c r="F20" s="36"/>
      <c r="G20" s="63"/>
      <c r="H20" s="38"/>
      <c r="I20" s="38"/>
      <c r="J20" s="38"/>
      <c r="K20" s="3"/>
      <c r="L20" s="3"/>
      <c r="M20" s="3"/>
      <c r="N20" s="3"/>
      <c r="O20" s="9"/>
      <c r="P20" s="9"/>
    </row>
    <row r="21" spans="2:16" ht="14.4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/>
      <c r="P21" s="9"/>
    </row>
    <row r="22" spans="2:16" ht="14.45" x14ac:dyDescent="0.3">
      <c r="B22" s="9"/>
      <c r="C22" s="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/>
      <c r="P22" s="9"/>
    </row>
    <row r="23" spans="2:16" ht="14.45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</sheetData>
  <mergeCells count="2">
    <mergeCell ref="K1:M1"/>
    <mergeCell ref="K2:M2"/>
  </mergeCells>
  <printOptions horizontalCentered="1" gridLines="1"/>
  <pageMargins left="0" right="0" top="0.75" bottom="0.75" header="0.3" footer="0.3"/>
  <pageSetup paperSize="5" scale="78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E1" zoomScaleNormal="100" workbookViewId="0">
      <selection activeCell="B1" sqref="B1"/>
    </sheetView>
  </sheetViews>
  <sheetFormatPr defaultRowHeight="15" x14ac:dyDescent="0.25"/>
  <cols>
    <col min="1" max="1" width="9.140625" hidden="1" customWidth="1"/>
    <col min="2" max="2" width="53.140625" customWidth="1"/>
    <col min="3" max="3" width="9" bestFit="1" customWidth="1"/>
    <col min="4" max="4" width="17" bestFit="1" customWidth="1"/>
    <col min="5" max="5" width="26.140625" bestFit="1" customWidth="1"/>
    <col min="6" max="6" width="21.5703125" bestFit="1" customWidth="1"/>
    <col min="7" max="7" width="13.28515625" bestFit="1" customWidth="1"/>
    <col min="8" max="8" width="13.7109375" customWidth="1"/>
    <col min="9" max="9" width="14.42578125" customWidth="1"/>
    <col min="10" max="10" width="3.140625" customWidth="1"/>
    <col min="11" max="11" width="12" customWidth="1"/>
    <col min="12" max="12" width="14.140625" customWidth="1"/>
    <col min="13" max="13" width="14.42578125" customWidth="1"/>
  </cols>
  <sheetData>
    <row r="1" spans="1:16" x14ac:dyDescent="0.25">
      <c r="B1" s="15" t="s">
        <v>12</v>
      </c>
      <c r="K1" s="187" t="s">
        <v>139</v>
      </c>
      <c r="L1" s="187"/>
      <c r="M1" s="187"/>
    </row>
    <row r="2" spans="1:16" x14ac:dyDescent="0.25">
      <c r="B2" s="15" t="s">
        <v>134</v>
      </c>
      <c r="G2" s="169">
        <v>41571</v>
      </c>
      <c r="H2" s="169">
        <v>41820</v>
      </c>
      <c r="J2" s="41"/>
      <c r="K2" s="185" t="s">
        <v>129</v>
      </c>
      <c r="L2" s="185"/>
      <c r="M2" s="185"/>
    </row>
    <row r="3" spans="1:16" x14ac:dyDescent="0.25">
      <c r="A3" t="s">
        <v>26</v>
      </c>
      <c r="B3" s="85" t="s">
        <v>94</v>
      </c>
      <c r="C3" s="1"/>
      <c r="D3" s="1"/>
      <c r="E3" s="9"/>
      <c r="F3" s="9"/>
      <c r="G3" s="9"/>
      <c r="H3" s="9"/>
      <c r="I3" s="9"/>
      <c r="J3" s="42"/>
      <c r="K3" s="17"/>
      <c r="L3" s="18"/>
      <c r="M3" s="9"/>
      <c r="N3" s="9"/>
      <c r="O3" s="9"/>
      <c r="P3" s="9"/>
    </row>
    <row r="4" spans="1:16" x14ac:dyDescent="0.25">
      <c r="C4" s="9"/>
      <c r="D4" s="9"/>
      <c r="E4" s="9"/>
      <c r="F4" s="9"/>
      <c r="G4" s="23" t="s">
        <v>59</v>
      </c>
      <c r="H4" s="23" t="s">
        <v>59</v>
      </c>
      <c r="I4" s="21" t="s">
        <v>59</v>
      </c>
      <c r="J4" s="16"/>
      <c r="K4" s="23" t="s">
        <v>60</v>
      </c>
      <c r="L4" s="21" t="s">
        <v>62</v>
      </c>
      <c r="M4" s="20" t="s">
        <v>42</v>
      </c>
      <c r="N4" s="14"/>
      <c r="O4" s="9"/>
      <c r="P4" s="9"/>
    </row>
    <row r="5" spans="1:16" x14ac:dyDescent="0.25">
      <c r="B5" s="9"/>
      <c r="C5" s="9"/>
      <c r="D5" s="9"/>
      <c r="E5" s="9"/>
      <c r="F5" s="9"/>
      <c r="G5" s="24" t="s">
        <v>57</v>
      </c>
      <c r="H5" s="24" t="s">
        <v>54</v>
      </c>
      <c r="I5" s="22" t="s">
        <v>53</v>
      </c>
      <c r="J5" s="16"/>
      <c r="K5" s="24" t="s">
        <v>61</v>
      </c>
      <c r="L5" s="22" t="s">
        <v>61</v>
      </c>
      <c r="M5" s="19" t="s">
        <v>61</v>
      </c>
      <c r="N5" s="14"/>
      <c r="O5" s="9"/>
      <c r="P5" s="9"/>
    </row>
    <row r="6" spans="1:16" x14ac:dyDescent="0.25"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25" t="s">
        <v>6</v>
      </c>
      <c r="H6" s="25" t="s">
        <v>6</v>
      </c>
      <c r="I6" s="26" t="s">
        <v>6</v>
      </c>
      <c r="J6" s="16"/>
      <c r="K6" s="25"/>
      <c r="L6" s="44" t="s">
        <v>63</v>
      </c>
      <c r="M6" s="45" t="s">
        <v>64</v>
      </c>
      <c r="N6" s="9"/>
      <c r="O6" s="9"/>
      <c r="P6" s="9"/>
    </row>
    <row r="7" spans="1:16" x14ac:dyDescent="0.25">
      <c r="A7">
        <v>4201</v>
      </c>
      <c r="B7" s="3" t="s">
        <v>8</v>
      </c>
      <c r="C7" s="7">
        <v>84.01</v>
      </c>
      <c r="D7" s="3" t="s">
        <v>135</v>
      </c>
      <c r="E7" s="3" t="s">
        <v>7</v>
      </c>
      <c r="F7" s="3" t="s">
        <v>132</v>
      </c>
      <c r="G7" s="47">
        <v>45195.62</v>
      </c>
      <c r="H7" s="46">
        <f t="shared" ref="H7:H9" si="0">SUM(H3:H6)</f>
        <v>0</v>
      </c>
      <c r="I7" s="10">
        <f>G7+H7</f>
        <v>45195.62</v>
      </c>
      <c r="J7" s="48"/>
      <c r="K7" s="10">
        <f>8865.74+11556.55+23805.53+967.2</f>
        <v>45195.02</v>
      </c>
      <c r="L7" s="10"/>
      <c r="M7" s="49">
        <f>K7+L7</f>
        <v>45195.02</v>
      </c>
      <c r="N7" s="9"/>
      <c r="O7" s="9"/>
      <c r="P7" s="9"/>
    </row>
    <row r="8" spans="1:16" ht="14.45" x14ac:dyDescent="0.3">
      <c r="B8" s="3" t="s">
        <v>9</v>
      </c>
      <c r="C8" s="5">
        <v>84.027000000000001</v>
      </c>
      <c r="D8" s="3" t="s">
        <v>133</v>
      </c>
      <c r="E8" s="3" t="s">
        <v>7</v>
      </c>
      <c r="F8" s="3" t="s">
        <v>132</v>
      </c>
      <c r="G8" s="47">
        <f>1725+4715.88+0.12</f>
        <v>6441</v>
      </c>
      <c r="H8" s="46">
        <f t="shared" si="0"/>
        <v>0</v>
      </c>
      <c r="I8" s="10">
        <f>G8+H8</f>
        <v>6441</v>
      </c>
      <c r="J8" s="10"/>
      <c r="K8" s="10">
        <f>1725+4716</f>
        <v>6441</v>
      </c>
      <c r="L8" s="46">
        <v>0</v>
      </c>
      <c r="M8" s="50">
        <f>K8+L8</f>
        <v>6441</v>
      </c>
      <c r="N8" s="9"/>
      <c r="O8" s="9"/>
      <c r="P8" s="9"/>
    </row>
    <row r="9" spans="1:16" ht="14.45" x14ac:dyDescent="0.3">
      <c r="B9" s="39"/>
      <c r="C9" s="7"/>
      <c r="D9" s="3"/>
      <c r="E9" s="3"/>
      <c r="F9" s="3"/>
      <c r="G9" s="51"/>
      <c r="H9" s="52">
        <f t="shared" si="0"/>
        <v>0</v>
      </c>
      <c r="I9" s="53">
        <f t="shared" ref="I9" si="1">G9-H9</f>
        <v>0</v>
      </c>
      <c r="J9" s="48"/>
      <c r="K9" s="53"/>
      <c r="L9" s="52">
        <v>0</v>
      </c>
      <c r="M9" s="54">
        <f>K9+L9</f>
        <v>0</v>
      </c>
      <c r="N9" s="9"/>
      <c r="O9" s="9"/>
      <c r="P9" s="9"/>
    </row>
    <row r="10" spans="1:16" ht="14.45" x14ac:dyDescent="0.3">
      <c r="B10" s="3"/>
      <c r="C10" s="5"/>
      <c r="D10" s="3"/>
      <c r="E10" s="3"/>
      <c r="F10" s="3"/>
      <c r="G10" s="46"/>
      <c r="H10" s="46"/>
      <c r="I10" s="46"/>
      <c r="J10" s="46"/>
      <c r="K10" s="46"/>
      <c r="L10" s="46"/>
      <c r="M10" s="55"/>
      <c r="N10" s="9"/>
      <c r="O10" s="9"/>
      <c r="P10" s="9"/>
    </row>
    <row r="11" spans="1:16" ht="14.45" x14ac:dyDescent="0.3">
      <c r="B11" s="6"/>
      <c r="C11" s="9"/>
      <c r="D11" s="9"/>
      <c r="E11" s="9"/>
      <c r="F11" s="43" t="s">
        <v>70</v>
      </c>
      <c r="G11" s="10">
        <f>SUM(G7:G10)</f>
        <v>51636.62</v>
      </c>
      <c r="H11" s="10">
        <f t="shared" ref="H11:I11" si="2">SUM(H7:H10)</f>
        <v>0</v>
      </c>
      <c r="I11" s="10">
        <f t="shared" si="2"/>
        <v>51636.62</v>
      </c>
      <c r="J11" s="10"/>
      <c r="K11" s="10">
        <f>SUM(K7:K10)</f>
        <v>51636.02</v>
      </c>
      <c r="L11" s="10">
        <f>SUM(L7:L10)</f>
        <v>0</v>
      </c>
      <c r="M11" s="50">
        <f>SUM(M7:M10)</f>
        <v>51636.02</v>
      </c>
      <c r="N11" s="9"/>
      <c r="O11" s="9"/>
      <c r="P11" s="9"/>
    </row>
    <row r="12" spans="1:16" ht="14.45" x14ac:dyDescent="0.3">
      <c r="B12" s="3"/>
      <c r="C12" s="9"/>
      <c r="D12" s="9"/>
      <c r="E12" s="9"/>
      <c r="F12" s="9"/>
      <c r="G12" s="9"/>
      <c r="H12" s="9"/>
      <c r="I12" s="9"/>
      <c r="J12" s="9"/>
      <c r="K12" s="9"/>
      <c r="L12" s="9"/>
      <c r="M12" s="29"/>
      <c r="N12" s="9"/>
      <c r="O12" s="9"/>
      <c r="P12" s="9"/>
    </row>
    <row r="13" spans="1:16" ht="14.45" x14ac:dyDescent="0.3">
      <c r="B13" s="3"/>
      <c r="C13" s="9"/>
      <c r="D13" s="9"/>
      <c r="E13" s="9"/>
      <c r="F13" s="9"/>
      <c r="G13" s="9"/>
      <c r="H13" s="9"/>
      <c r="I13" s="9"/>
      <c r="J13" s="9"/>
      <c r="K13" s="9"/>
      <c r="L13" s="9"/>
      <c r="M13" s="29"/>
      <c r="N13" s="9"/>
      <c r="O13" s="9"/>
      <c r="P13" s="9"/>
    </row>
    <row r="14" spans="1:16" ht="14.45" x14ac:dyDescent="0.3">
      <c r="B14" s="27"/>
      <c r="C14" s="28"/>
      <c r="D14" s="28"/>
      <c r="E14" s="28"/>
      <c r="F14" s="28"/>
      <c r="G14" s="28"/>
      <c r="H14" s="28"/>
      <c r="I14" s="28"/>
      <c r="J14" s="42"/>
      <c r="K14" s="28"/>
      <c r="L14" s="28"/>
      <c r="M14" s="30"/>
      <c r="N14" s="9"/>
      <c r="O14" s="9"/>
      <c r="P14" s="9"/>
    </row>
    <row r="15" spans="1:16" ht="14.45" x14ac:dyDescent="0.3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14.45" x14ac:dyDescent="0.3">
      <c r="B16" s="37" t="s">
        <v>71</v>
      </c>
      <c r="C16" s="8" t="s">
        <v>2</v>
      </c>
      <c r="D16" s="8" t="s">
        <v>65</v>
      </c>
      <c r="E16" s="8" t="s">
        <v>66</v>
      </c>
      <c r="F16" s="8" t="s">
        <v>67</v>
      </c>
      <c r="G16" s="8" t="s">
        <v>68</v>
      </c>
      <c r="H16" s="90"/>
      <c r="I16" s="98"/>
      <c r="J16" s="98"/>
      <c r="K16" s="115" t="s">
        <v>183</v>
      </c>
      <c r="L16" s="103"/>
      <c r="M16" s="103"/>
      <c r="N16" s="104"/>
      <c r="O16" s="9"/>
      <c r="P16" s="9"/>
    </row>
    <row r="17" spans="2:16" ht="14.45" x14ac:dyDescent="0.3">
      <c r="B17" s="31"/>
      <c r="C17" s="16"/>
      <c r="D17" s="16"/>
      <c r="E17" s="3"/>
      <c r="F17" s="3"/>
      <c r="G17" s="3"/>
      <c r="H17" s="3"/>
      <c r="K17" s="104" t="s">
        <v>181</v>
      </c>
      <c r="L17" s="104"/>
      <c r="M17" s="104"/>
      <c r="N17" s="104"/>
      <c r="O17" s="9"/>
      <c r="P17" s="9"/>
    </row>
    <row r="18" spans="2:16" ht="14.45" x14ac:dyDescent="0.3">
      <c r="B18" s="32"/>
      <c r="C18" s="33"/>
      <c r="D18" s="76"/>
      <c r="E18" s="35"/>
      <c r="F18" s="36"/>
      <c r="G18" s="40"/>
      <c r="H18" s="38"/>
      <c r="I18" s="38"/>
      <c r="J18" s="38"/>
      <c r="K18" s="9"/>
      <c r="L18" s="9"/>
      <c r="M18" s="9"/>
      <c r="N18" s="9"/>
      <c r="O18" s="9"/>
      <c r="P18" s="9"/>
    </row>
    <row r="19" spans="2:16" ht="14.45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ht="14.45" x14ac:dyDescent="0.3">
      <c r="B20" s="9"/>
      <c r="C20" s="9"/>
      <c r="D20" s="9"/>
      <c r="E20" s="9"/>
      <c r="F20" s="9"/>
      <c r="G20" s="9"/>
      <c r="H20" s="9"/>
      <c r="I20" s="3"/>
      <c r="J20" s="3"/>
      <c r="K20" s="9"/>
      <c r="L20" s="9"/>
      <c r="M20" s="9"/>
      <c r="N20" s="9"/>
      <c r="O20" s="9"/>
      <c r="P20" s="9"/>
    </row>
    <row r="21" spans="2:16" ht="14.45" x14ac:dyDescent="0.3">
      <c r="B21" s="9"/>
      <c r="C21" s="9"/>
      <c r="D21" s="9"/>
      <c r="E21" s="9"/>
      <c r="F21" s="9"/>
      <c r="G21" s="9"/>
      <c r="H21" s="9"/>
      <c r="I21" s="3"/>
      <c r="J21" s="3"/>
      <c r="K21" s="9"/>
      <c r="L21" s="9"/>
      <c r="M21" s="9"/>
      <c r="N21" s="9"/>
      <c r="O21" s="9"/>
      <c r="P21" s="9"/>
    </row>
    <row r="22" spans="2:16" ht="14.45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ht="14.45" x14ac:dyDescent="0.3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2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</sheetData>
  <mergeCells count="2">
    <mergeCell ref="K2:M2"/>
    <mergeCell ref="K1:M1"/>
  </mergeCells>
  <printOptions horizontalCentered="1" gridLines="1"/>
  <pageMargins left="0" right="0" top="0.75" bottom="0.75" header="0.3" footer="0.3"/>
  <pageSetup paperSize="5" scale="8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50</vt:i4>
      </vt:variant>
    </vt:vector>
  </HeadingPairs>
  <TitlesOfParts>
    <vt:vector size="100" baseType="lpstr">
      <vt:lpstr>Template</vt:lpstr>
      <vt:lpstr>#0664 Academy Positive Learning</vt:lpstr>
      <vt:lpstr>#3400 Believers Academy </vt:lpstr>
      <vt:lpstr>#4010 Belle Glade Excel  </vt:lpstr>
      <vt:lpstr>#3941 Ben Gamla </vt:lpstr>
      <vt:lpstr>#0054 Boca Raton CS </vt:lpstr>
      <vt:lpstr>#3385  Bright Futures Academy </vt:lpstr>
      <vt:lpstr>#3392 Charter Sch Boynton Beach</vt:lpstr>
      <vt:lpstr>#0642 DayStar Academy </vt:lpstr>
      <vt:lpstr>#2521 Ed Venture </vt:lpstr>
      <vt:lpstr>#3398 Everglades Preparatory </vt:lpstr>
      <vt:lpstr>#4040 Florida Virtual Academy </vt:lpstr>
      <vt:lpstr>#4020 Franklin Academy "B" </vt:lpstr>
      <vt:lpstr>#3396 G-Star of the Arts </vt:lpstr>
      <vt:lpstr>#3961 Gardens Schl Tech Arts</vt:lpstr>
      <vt:lpstr>#3382 Glades Academy </vt:lpstr>
      <vt:lpstr>#3345 Gulfstream Goodwill Life </vt:lpstr>
      <vt:lpstr>#3384 Hope Learning Riviera </vt:lpstr>
      <vt:lpstr>#3381 Imagine Schools </vt:lpstr>
      <vt:lpstr>#1461 Inlet Grove Comm. HS </vt:lpstr>
      <vt:lpstr>#3395 JFK Medical Center CS </vt:lpstr>
      <vt:lpstr>#2661Joseph Littles~Nguzo Saba </vt:lpstr>
      <vt:lpstr>#2641 Lakeside Academy </vt:lpstr>
      <vt:lpstr>#3347 Leadership Academy West </vt:lpstr>
      <vt:lpstr>#4037 Learning Path Academy </vt:lpstr>
      <vt:lpstr>#3971 Mavericks @ Palm Springs </vt:lpstr>
      <vt:lpstr>#3394 Montessori Acad Early  </vt:lpstr>
      <vt:lpstr>#3411 My Choice Academy</vt:lpstr>
      <vt:lpstr>#2801 Palm Beach Maritime Acad </vt:lpstr>
      <vt:lpstr>#2941 Palm Beach School Autism </vt:lpstr>
      <vt:lpstr>#2531 Potentials </vt:lpstr>
      <vt:lpstr>#3401 Quantum High School </vt:lpstr>
      <vt:lpstr>#4001 Renaissance @ Gardens Ws </vt:lpstr>
      <vt:lpstr>#4000 Renaissance  @ Palms West</vt:lpstr>
      <vt:lpstr>#4002 Renaissance CS @ Summit </vt:lpstr>
      <vt:lpstr> #3431 Rennaisance CS @ WPB</vt:lpstr>
      <vt:lpstr>#3083 Renaissance Learning Acad</vt:lpstr>
      <vt:lpstr>#2791 Renaissance Learning Cntr</vt:lpstr>
      <vt:lpstr>#3443 Riviera Bch Maritime Acad</vt:lpstr>
      <vt:lpstr>#3391 Seagull Academy Ind. Liv</vt:lpstr>
      <vt:lpstr>#3413 Somerset Acad Boca East</vt:lpstr>
      <vt:lpstr>#4041 Somerset Acad Boca Middle</vt:lpstr>
      <vt:lpstr>#4013 Somerset Acad Canyons HS </vt:lpstr>
      <vt:lpstr>#4012 Somerset Canyons Middle  </vt:lpstr>
      <vt:lpstr>#1571 South Tech Charter Acad</vt:lpstr>
      <vt:lpstr>#3441 South Tech Preparatory </vt:lpstr>
      <vt:lpstr>#3344 Tomorrow's Promise Comm </vt:lpstr>
      <vt:lpstr>#3386 Toussaint L'Ouverture </vt:lpstr>
      <vt:lpstr>#2911 Western Academy</vt:lpstr>
      <vt:lpstr>#3421 Worthington High School</vt:lpstr>
      <vt:lpstr>' #3431 Rennaisance CS @ WPB'!Print_Area</vt:lpstr>
      <vt:lpstr>'#0054 Boca Raton CS '!Print_Area</vt:lpstr>
      <vt:lpstr>'#0642 DayStar Academy '!Print_Area</vt:lpstr>
      <vt:lpstr>'#0664 Academy Positive Learning'!Print_Area</vt:lpstr>
      <vt:lpstr>'#1461 Inlet Grove Comm. HS '!Print_Area</vt:lpstr>
      <vt:lpstr>'#1571 South Tech Charter Acad'!Print_Area</vt:lpstr>
      <vt:lpstr>'#2521 Ed Venture '!Print_Area</vt:lpstr>
      <vt:lpstr>'#2531 Potentials '!Print_Area</vt:lpstr>
      <vt:lpstr>'#2641 Lakeside Academy '!Print_Area</vt:lpstr>
      <vt:lpstr>'#2661Joseph Littles~Nguzo Saba '!Print_Area</vt:lpstr>
      <vt:lpstr>'#2791 Renaissance Learning Cntr'!Print_Area</vt:lpstr>
      <vt:lpstr>'#2801 Palm Beach Maritime Acad '!Print_Area</vt:lpstr>
      <vt:lpstr>'#2911 Western Academy'!Print_Area</vt:lpstr>
      <vt:lpstr>'#2941 Palm Beach School Autism '!Print_Area</vt:lpstr>
      <vt:lpstr>'#3083 Renaissance Learning Acad'!Print_Area</vt:lpstr>
      <vt:lpstr>'#3344 Tomorrow''s Promise Comm '!Print_Area</vt:lpstr>
      <vt:lpstr>'#3345 Gulfstream Goodwill Life '!Print_Area</vt:lpstr>
      <vt:lpstr>'#3347 Leadership Academy West '!Print_Area</vt:lpstr>
      <vt:lpstr>'#3381 Imagine Schools '!Print_Area</vt:lpstr>
      <vt:lpstr>'#3382 Glades Academy '!Print_Area</vt:lpstr>
      <vt:lpstr>'#3384 Hope Learning Riviera '!Print_Area</vt:lpstr>
      <vt:lpstr>'#3385  Bright Futures Academy '!Print_Area</vt:lpstr>
      <vt:lpstr>'#3386 Toussaint L''Ouverture '!Print_Area</vt:lpstr>
      <vt:lpstr>'#3391 Seagull Academy Ind. Liv'!Print_Area</vt:lpstr>
      <vt:lpstr>'#3392 Charter Sch Boynton Beach'!Print_Area</vt:lpstr>
      <vt:lpstr>'#3394 Montessori Acad Early  '!Print_Area</vt:lpstr>
      <vt:lpstr>'#3395 JFK Medical Center CS '!Print_Area</vt:lpstr>
      <vt:lpstr>'#3396 G-Star of the Arts '!Print_Area</vt:lpstr>
      <vt:lpstr>'#3398 Everglades Preparatory '!Print_Area</vt:lpstr>
      <vt:lpstr>'#3400 Believers Academy '!Print_Area</vt:lpstr>
      <vt:lpstr>'#3401 Quantum High School '!Print_Area</vt:lpstr>
      <vt:lpstr>'#3411 My Choice Academy'!Print_Area</vt:lpstr>
      <vt:lpstr>'#3413 Somerset Acad Boca East'!Print_Area</vt:lpstr>
      <vt:lpstr>'#3421 Worthington High School'!Print_Area</vt:lpstr>
      <vt:lpstr>'#3441 South Tech Preparatory '!Print_Area</vt:lpstr>
      <vt:lpstr>'#3443 Riviera Bch Maritime Acad'!Print_Area</vt:lpstr>
      <vt:lpstr>'#3941 Ben Gamla '!Print_Area</vt:lpstr>
      <vt:lpstr>'#3961 Gardens Schl Tech Arts'!Print_Area</vt:lpstr>
      <vt:lpstr>'#3971 Mavericks @ Palm Springs '!Print_Area</vt:lpstr>
      <vt:lpstr>'#4000 Renaissance  @ Palms West'!Print_Area</vt:lpstr>
      <vt:lpstr>'#4001 Renaissance @ Gardens Ws '!Print_Area</vt:lpstr>
      <vt:lpstr>'#4002 Renaissance CS @ Summit '!Print_Area</vt:lpstr>
      <vt:lpstr>'#4010 Belle Glade Excel  '!Print_Area</vt:lpstr>
      <vt:lpstr>'#4012 Somerset Canyons Middle  '!Print_Area</vt:lpstr>
      <vt:lpstr>'#4013 Somerset Acad Canyons HS '!Print_Area</vt:lpstr>
      <vt:lpstr>'#4020 Franklin Academy "B" '!Print_Area</vt:lpstr>
      <vt:lpstr>'#4037 Learning Path Academy '!Print_Area</vt:lpstr>
      <vt:lpstr>'#4040 Florida Virtual Academy '!Print_Area</vt:lpstr>
      <vt:lpstr>'#4041 Somerset Acad Boca Middle'!Print_Area</vt:lpstr>
      <vt:lpstr>Template!Print_Area</vt:lpstr>
    </vt:vector>
  </TitlesOfParts>
  <Company>School District Of Palm Beach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kovners</dc:creator>
  <cp:lastModifiedBy>Tamara Dowdell</cp:lastModifiedBy>
  <cp:lastPrinted>2014-07-30T17:19:03Z</cp:lastPrinted>
  <dcterms:created xsi:type="dcterms:W3CDTF">2009-12-03T15:07:28Z</dcterms:created>
  <dcterms:modified xsi:type="dcterms:W3CDTF">2014-08-04T16:13:10Z</dcterms:modified>
</cp:coreProperties>
</file>